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AUMSUP20" sheetId="1" r:id="rId1"/>
    <sheet name="LEGGE" sheetId="2" r:id="rId2"/>
  </sheets>
  <definedNames>
    <definedName name="_xlnm.Print_Area" localSheetId="0">'AUMSUP20'!$A:$G</definedName>
    <definedName name="TAR_AFF">'LEGGE'!$A$1:$C$6</definedName>
  </definedNames>
  <calcPr fullCalcOnLoad="1"/>
</workbook>
</file>

<file path=xl/sharedStrings.xml><?xml version="1.0" encoding="utf-8"?>
<sst xmlns="http://schemas.openxmlformats.org/spreadsheetml/2006/main" count="176" uniqueCount="109">
  <si>
    <t xml:space="preserve">DIRITTI SULLE PUBBLICHE AFFISSIONI  </t>
  </si>
  <si>
    <t>D.LGS. N. 507 DEL 15.11.93   E SUCCESSIVE MODIFICAZIONI</t>
  </si>
  <si>
    <t>LEGGE 145/2018 COMMA 919</t>
  </si>
  <si>
    <t>ex-LEGGE N. 449 DEL 27.12.97 ART. 11 COMMA 10</t>
  </si>
  <si>
    <t>ex-LEGGE N. 488 DEL 23.12.99 ART. 30 COMMA 17</t>
  </si>
  <si>
    <t>EURO</t>
  </si>
  <si>
    <t>IV</t>
  </si>
  <si>
    <t>CAT. SPEC.</t>
  </si>
  <si>
    <t>Aumento deliberato</t>
  </si>
  <si>
    <r>
      <rPr>
        <sz val="12"/>
        <color indexed="8"/>
        <rFont val="Times New Roman"/>
        <family val="1"/>
      </rPr>
      <t xml:space="preserve">ART. 19  - </t>
    </r>
    <r>
      <rPr>
        <u val="single"/>
        <sz val="12"/>
        <color indexed="8"/>
        <rFont val="Times New Roman"/>
        <family val="1"/>
      </rPr>
      <t>TARIFFE PER CIASCUN FOGLIO DI CM. 70 x 100 O FRAZIONI</t>
    </r>
  </si>
  <si>
    <t>Superfici inferiori a mq. 1</t>
  </si>
  <si>
    <t>Superfici superiori a mq. 1</t>
  </si>
  <si>
    <t>TARIFFA PER I PRIMI 10 GG</t>
  </si>
  <si>
    <t>TARIFFA PER IL PERIODO SUCCESSIVO DI 5 GIORNI O FRAZIONE</t>
  </si>
  <si>
    <t>Manifesti di cm. 70 x  100</t>
  </si>
  <si>
    <t>70 X 100 = Fogli</t>
  </si>
  <si>
    <t>Manifesti di cm. 100 x 140</t>
  </si>
  <si>
    <t>100 X 140 = Fogli</t>
  </si>
  <si>
    <t>Manifesti di cm. 140 x 200</t>
  </si>
  <si>
    <t>140 X 200 = Fogli</t>
  </si>
  <si>
    <t>Manifesti di m. 6 x 3</t>
  </si>
  <si>
    <t>6 X 3 = Fogli</t>
  </si>
  <si>
    <t>Fino a gg.:</t>
  </si>
  <si>
    <r>
      <t xml:space="preserve">CAT.SPECIALE </t>
    </r>
    <r>
      <rPr>
        <b/>
        <sz val="8"/>
        <color indexed="8"/>
        <rFont val="Arial"/>
        <family val="2"/>
      </rPr>
      <t>Superfici inferiori a mq. 1</t>
    </r>
  </si>
  <si>
    <r>
      <t xml:space="preserve">CAT.SPECIALE </t>
    </r>
    <r>
      <rPr>
        <b/>
        <sz val="8"/>
        <color indexed="8"/>
        <rFont val="Arial"/>
        <family val="2"/>
      </rPr>
      <t>Superfici superiori a mq. 1</t>
    </r>
  </si>
  <si>
    <t>N.B.</t>
  </si>
  <si>
    <r>
      <rPr>
        <sz val="12"/>
        <color indexed="8"/>
        <rFont val="Wingdings"/>
        <family val="0"/>
      </rPr>
      <t>§</t>
    </r>
    <r>
      <rPr>
        <sz val="12"/>
        <color indexed="8"/>
        <rFont val="Times New Roman"/>
        <family val="1"/>
      </rPr>
      <t>Per ogni commissione inferiore a cinquanta fogli il diritto è maggiorato del 50%</t>
    </r>
  </si>
  <si>
    <r>
      <rPr>
        <sz val="12"/>
        <color indexed="8"/>
        <rFont val="Wingdings"/>
        <family val="0"/>
      </rPr>
      <t>§</t>
    </r>
    <r>
      <rPr>
        <sz val="12"/>
        <color indexed="8"/>
        <rFont val="Times New Roman"/>
        <family val="1"/>
      </rPr>
      <t>Per i manifesti costituiti da otto fino a dodici fogli il diritto è maggiorato del 50%</t>
    </r>
  </si>
  <si>
    <r>
      <rPr>
        <sz val="12"/>
        <color indexed="8"/>
        <rFont val="Wingdings"/>
        <family val="0"/>
      </rPr>
      <t>§</t>
    </r>
    <r>
      <rPr>
        <sz val="12"/>
        <color indexed="8"/>
        <rFont val="Times New Roman"/>
        <family val="1"/>
      </rPr>
      <t>Per i manifesti costituiti da più di dodici fogli il diritto è maggiorato del 100%</t>
    </r>
  </si>
  <si>
    <t>ART. 22 – DIRITTI DI URGENZA                                       L. 50.000</t>
  </si>
  <si>
    <t>N.B.: nel periodo dal.... al   ......  dovrà  essere applicata la maggiorazione del    .............                                                                                   
                                                                                                                                                                      per aumento stagionale esclusivamente sui  diritti per le pubbliche affissioni ed imposta sulla pubblicità temporanea.</t>
  </si>
  <si>
    <t xml:space="preserve">IMPOSTA SULLA PUBBLICITA'  </t>
  </si>
  <si>
    <t>(superfici SUPERIORI al mq)</t>
  </si>
  <si>
    <t>Aumento per luminosa</t>
  </si>
  <si>
    <r>
      <rPr>
        <sz val="12"/>
        <color indexed="8"/>
        <rFont val="Times New Roman"/>
        <family val="1"/>
      </rPr>
      <t xml:space="preserve">ART. 12 – </t>
    </r>
    <r>
      <rPr>
        <u val="single"/>
        <sz val="12"/>
        <color indexed="8"/>
        <rFont val="Times New Roman"/>
        <family val="1"/>
      </rPr>
      <t>TARIFFA PREVISTA PER OGNI MQ. E  PER OGNI ANNO SOLARE</t>
    </r>
  </si>
  <si>
    <t>TIPO</t>
  </si>
  <si>
    <t>1mese o frazione</t>
  </si>
  <si>
    <t>2mesi o frazione</t>
  </si>
  <si>
    <t>3 mesi o frazione</t>
  </si>
  <si>
    <t>1 ANNO</t>
  </si>
  <si>
    <t>Aumento per mq</t>
  </si>
  <si>
    <t>ORDINARIA Superfici fino a mq. 1</t>
  </si>
  <si>
    <t>ORDINARIA Superfici comprese tra mq. 1,01 e 5,50</t>
  </si>
  <si>
    <t>ORDINARIA Superfici comprese tra mq. 5,50 e mq. 8,50</t>
  </si>
  <si>
    <t>ORDINARIA Superfici superiori a mq. 8,50</t>
  </si>
  <si>
    <t>LUMINOSA Superfici fino a mq. 1</t>
  </si>
  <si>
    <t>LUMINOSA Superfici comprese tra mq. 1,01 e 5,50</t>
  </si>
  <si>
    <t>LUMINOSA Superfici comprese tra mq. 5,50 e mq. 8,50</t>
  </si>
  <si>
    <t>LUMINOSA Superfici superiori a mq. 8,50</t>
  </si>
  <si>
    <t>CATEGORIA SPECIALE</t>
  </si>
  <si>
    <t xml:space="preserve"> </t>
  </si>
  <si>
    <t>N.B. :</t>
  </si>
  <si>
    <r>
      <rPr>
        <sz val="10"/>
        <color indexed="8"/>
        <rFont val="Wingdings"/>
        <family val="0"/>
      </rPr>
      <t>§</t>
    </r>
    <r>
      <rPr>
        <sz val="10"/>
        <color indexed="8"/>
        <rFont val="Times New Roman"/>
        <family val="1"/>
      </rPr>
      <t>Per la pubblicità che abbia superficie compresa tra mq. 5,5, e 8,5 la tariffa di cui sopra è maggiorata del 50%</t>
    </r>
  </si>
  <si>
    <r>
      <rPr>
        <sz val="10"/>
        <color indexed="8"/>
        <rFont val="Wingdings"/>
        <family val="0"/>
      </rPr>
      <t>§</t>
    </r>
    <r>
      <rPr>
        <sz val="10"/>
        <color indexed="8"/>
        <rFont val="Times New Roman"/>
        <family val="1"/>
      </rPr>
      <t>Per la pubblicità che abbia superficie superiore a mq. 8,5 la tariffa di cui sopra è maggiorata del 100%</t>
    </r>
  </si>
  <si>
    <t>Tali maggiorazioni si applicano sempre sulla tariffa base.</t>
  </si>
  <si>
    <r>
      <rPr>
        <sz val="12"/>
        <color indexed="8"/>
        <rFont val="Times New Roman"/>
        <family val="1"/>
      </rPr>
      <t xml:space="preserve">ART. 13 – </t>
    </r>
    <r>
      <rPr>
        <u val="single"/>
        <sz val="12"/>
        <color indexed="8"/>
        <rFont val="Times New Roman"/>
        <family val="1"/>
      </rPr>
      <t>TARIFFA ANNUALE PER AUTOMEZZI PUBBLICITARI ADIBITI AI TRASPORTI DELLA     AZIENDA</t>
    </r>
  </si>
  <si>
    <r>
      <rPr>
        <sz val="12"/>
        <color indexed="8"/>
        <rFont val="Wingdings"/>
        <family val="0"/>
      </rPr>
      <t>;</t>
    </r>
    <r>
      <rPr>
        <sz val="12"/>
        <color indexed="8"/>
        <rFont val="Times New Roman"/>
        <family val="1"/>
      </rPr>
      <t>AUTOVEICOLI CON PORTATA SUPERIORE A 30  q.li</t>
    </r>
  </si>
  <si>
    <r>
      <rPr>
        <sz val="12"/>
        <color indexed="8"/>
        <rFont val="Wingdings"/>
        <family val="0"/>
      </rPr>
      <t>;</t>
    </r>
    <r>
      <rPr>
        <sz val="12"/>
        <color indexed="8"/>
        <rFont val="Times New Roman"/>
        <family val="1"/>
      </rPr>
      <t>RIMORCHI CON  PORTATA SUPERIORE A 30 q.li</t>
    </r>
  </si>
  <si>
    <r>
      <rPr>
        <sz val="12"/>
        <color indexed="8"/>
        <rFont val="Wingdings"/>
        <family val="0"/>
      </rPr>
      <t>;</t>
    </r>
    <r>
      <rPr>
        <sz val="12"/>
        <color indexed="8"/>
        <rFont val="Times New Roman"/>
        <family val="1"/>
      </rPr>
      <t>AUTOVEICOLI CON PORTATA INFERIORE A 30 q.li</t>
    </r>
  </si>
  <si>
    <r>
      <rPr>
        <sz val="12"/>
        <color indexed="8"/>
        <rFont val="Wingdings"/>
        <family val="0"/>
      </rPr>
      <t>;</t>
    </r>
    <r>
      <rPr>
        <sz val="12"/>
        <color indexed="8"/>
        <rFont val="Times New Roman"/>
        <family val="1"/>
      </rPr>
      <t>RIMORCHI CON PORTATA INFERIORE A 30 q.li</t>
    </r>
  </si>
  <si>
    <r>
      <rPr>
        <sz val="12"/>
        <color indexed="8"/>
        <rFont val="Wingdings"/>
        <family val="0"/>
      </rPr>
      <t>;</t>
    </r>
    <r>
      <rPr>
        <sz val="12"/>
        <color indexed="8"/>
        <rFont val="Times New Roman"/>
        <family val="1"/>
      </rPr>
      <t>MOTOVEICOLI E VEICOLI  NON COMPRESI NELLE PRECEDENTI CATEGORIE</t>
    </r>
  </si>
  <si>
    <r>
      <rPr>
        <sz val="12"/>
        <color indexed="8"/>
        <rFont val="Times New Roman"/>
        <family val="1"/>
      </rPr>
      <t xml:space="preserve">ART. 14 – </t>
    </r>
    <r>
      <rPr>
        <u val="single"/>
        <sz val="12"/>
        <color indexed="8"/>
        <rFont val="Times New Roman"/>
        <family val="1"/>
      </rPr>
      <t>TARIFFA PER LA PUBBLICITA’ EFFETTUATA CON PANNELLI LUMINOSI</t>
    </r>
  </si>
  <si>
    <t xml:space="preserve">                  (per ogni metro quadrato di superficie dello schermo o pannello)</t>
  </si>
  <si>
    <t xml:space="preserve"> ORDINARIA Superfici fino a mq. 1</t>
  </si>
  <si>
    <t>SPECIALE Superfici fino a mq. 1</t>
  </si>
  <si>
    <t>SPECIALE Superfici comprese tra mq. 1,01 e 5,50</t>
  </si>
  <si>
    <t>SPECIALE Superfici comprese tra mq. 5,50 e mq. 8,50</t>
  </si>
  <si>
    <t>SPECIALE Superfici superiori a mq. 8,50</t>
  </si>
  <si>
    <r>
      <rPr>
        <sz val="12"/>
        <color indexed="8"/>
        <rFont val="Times New Roman"/>
        <family val="1"/>
      </rPr>
      <t xml:space="preserve">ART. 14 </t>
    </r>
    <r>
      <rPr>
        <u val="single"/>
        <sz val="12"/>
        <color indexed="8"/>
        <rFont val="Times New Roman"/>
        <family val="1"/>
      </rPr>
      <t>– TARIFFA PER LA PUBBLICITA’ EFFETTUATA ATTRAVERSO PROIEZIONI</t>
    </r>
  </si>
  <si>
    <t xml:space="preserve">                (in luoghi pubblici o aperti al pubblico)</t>
  </si>
  <si>
    <t xml:space="preserve">               </t>
  </si>
  <si>
    <r>
      <rPr>
        <sz val="12"/>
        <color indexed="8"/>
        <rFont val="Wingdings"/>
        <family val="0"/>
      </rPr>
      <t>;</t>
    </r>
    <r>
      <rPr>
        <sz val="12"/>
        <color indexed="8"/>
        <rFont val="Times New Roman"/>
        <family val="1"/>
      </rPr>
      <t>Per ogni giorno di esecuzione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categoria normale</t>
    </r>
  </si>
  <si>
    <r>
      <rPr>
        <sz val="12"/>
        <color indexed="8"/>
        <rFont val="Times New Roman"/>
        <family val="1"/>
      </rPr>
      <t xml:space="preserve">ART. 15 – </t>
    </r>
    <r>
      <rPr>
        <u val="single"/>
        <sz val="12"/>
        <color indexed="8"/>
        <rFont val="Times New Roman"/>
        <family val="1"/>
      </rPr>
      <t>TARIFFA PREVISTA PER OGNI MQ. PER LA PUBBLICITA’ EFFETTUATA CON STRISCIONI O ALTRI MEZZI SIMILARI CHE ATTRAVERSANO STRADE O PIAZZE</t>
    </r>
  </si>
  <si>
    <t>Fino a 15 gg</t>
  </si>
  <si>
    <t>Fino a 30 gg</t>
  </si>
  <si>
    <t>Fino a 45 gg</t>
  </si>
  <si>
    <t>Fino a 60gg</t>
  </si>
  <si>
    <t>ORDINARIA Fino a mq. 1</t>
  </si>
  <si>
    <t xml:space="preserve"> ART. 15</t>
  </si>
  <si>
    <r>
      <rPr>
        <u val="single"/>
        <sz val="12"/>
        <color indexed="8"/>
        <rFont val="Wingdings"/>
        <family val="0"/>
      </rPr>
      <t>;</t>
    </r>
    <r>
      <rPr>
        <u val="single"/>
        <sz val="12"/>
        <color indexed="8"/>
        <rFont val="Times New Roman"/>
        <family val="1"/>
      </rPr>
      <t>PUBBLICITA’ EFFETTUATA CON AEROMOBILI MEDIANTE SCRITTE, STRISCIONI, LANCIO MANIFESTINI, ECC.</t>
    </r>
  </si>
  <si>
    <t>Tariffa al giorno</t>
  </si>
  <si>
    <r>
      <rPr>
        <u val="single"/>
        <sz val="12"/>
        <color indexed="8"/>
        <rFont val="Wingdings"/>
        <family val="0"/>
      </rPr>
      <t>;</t>
    </r>
    <r>
      <rPr>
        <u val="single"/>
        <sz val="12"/>
        <color indexed="8"/>
        <rFont val="Times New Roman"/>
        <family val="1"/>
      </rPr>
      <t>PUBBLICITA’ ESEGUITA CON PALLONI FRENANTI E SIMILI</t>
    </r>
  </si>
  <si>
    <t xml:space="preserve"> Tariffa al giorno cat.normale</t>
  </si>
  <si>
    <r>
      <rPr>
        <u val="single"/>
        <sz val="12"/>
        <color indexed="8"/>
        <rFont val="Wingdings"/>
        <family val="0"/>
      </rPr>
      <t>;</t>
    </r>
    <r>
      <rPr>
        <u val="single"/>
        <sz val="12"/>
        <color indexed="8"/>
        <rFont val="Times New Roman"/>
        <family val="1"/>
      </rPr>
      <t>PUBBLICITA’ EFFETTUATA MEDIANTE DISTRIBUZIONE, ANCHE CON VEICOLI DI MANIFESTINI OD ALTRO MATERIALE PUBBLICITARIO OPPURE MEDIANTE PERSONE CIRCOLANTI CON CARTELLI</t>
    </r>
  </si>
  <si>
    <t>Tariffa al giorno e per ogni persona impiegata</t>
  </si>
  <si>
    <r>
      <rPr>
        <u val="single"/>
        <sz val="12"/>
        <color indexed="8"/>
        <rFont val="Wingdings"/>
        <family val="0"/>
      </rPr>
      <t>;</t>
    </r>
    <r>
      <rPr>
        <u val="single"/>
        <sz val="12"/>
        <color indexed="8"/>
        <rFont val="Times New Roman"/>
        <family val="1"/>
      </rPr>
      <t>PUBBLICITA’ EFFETTUATA A MEZZO APPARECCHI AMPLIFICATORI E SIMILI (sonora)</t>
    </r>
  </si>
  <si>
    <t>Tariffa al giorno e per ciascun punto di pubblicità</t>
  </si>
  <si>
    <t>Affissioni</t>
  </si>
  <si>
    <t>FOGLIO PRIMI 10 GG</t>
  </si>
  <si>
    <t>FOGLIO SUCC 10 GG</t>
  </si>
  <si>
    <t>FATTORE CONV.</t>
  </si>
  <si>
    <t>I</t>
  </si>
  <si>
    <t>II</t>
  </si>
  <si>
    <t>III</t>
  </si>
  <si>
    <t>V</t>
  </si>
  <si>
    <t>Ordinaria</t>
  </si>
  <si>
    <t>PRECEDENTE</t>
  </si>
  <si>
    <t>Pannelli Luminosi</t>
  </si>
  <si>
    <t>Proiezioni</t>
  </si>
  <si>
    <t>CAT. SPECIALE</t>
  </si>
  <si>
    <t>Art 15</t>
  </si>
  <si>
    <t>Striscioni</t>
  </si>
  <si>
    <t>Aeromobili</t>
  </si>
  <si>
    <t>Palloni</t>
  </si>
  <si>
    <t>Manifestini</t>
  </si>
  <si>
    <t>Amplificatori</t>
  </si>
  <si>
    <t>Manifestini-cat. Spec.</t>
  </si>
  <si>
    <t>Amplificatori-cat.spec.</t>
  </si>
  <si>
    <t>Comune  Cento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</si>
</sst>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10]0.00"/>
    <numFmt numFmtId="167" formatCode="[$-410]General"/>
    <numFmt numFmtId="168" formatCode="[$-410]0%"/>
    <numFmt numFmtId="169" formatCode="0.000"/>
    <numFmt numFmtId="170" formatCode="[$-410]0"/>
    <numFmt numFmtId="171" formatCode="[$-410]0.00%"/>
    <numFmt numFmtId="172" formatCode="[$€-410]&quot; &quot;#,##0.00;[Red]&quot;-&quot;[$€-410]&quot; &quot;#,##0.00"/>
  </numFmts>
  <fonts count="78">
    <font>
      <sz val="11"/>
      <color rgb="FF00000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8"/>
      <color indexed="8"/>
      <name val="Arial"/>
      <family val="2"/>
    </font>
    <font>
      <sz val="12"/>
      <color indexed="8"/>
      <name val="Wingdings"/>
      <family val="0"/>
    </font>
    <font>
      <sz val="10"/>
      <color indexed="8"/>
      <name val="Wingdings"/>
      <family val="0"/>
    </font>
    <font>
      <sz val="10"/>
      <color indexed="8"/>
      <name val="Times New Roman"/>
      <family val="1"/>
    </font>
    <font>
      <u val="single"/>
      <sz val="12"/>
      <color indexed="8"/>
      <name val="Wingdings"/>
      <family val="0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6"/>
      <color indexed="8"/>
      <name val="Arial"/>
      <family val="2"/>
    </font>
    <font>
      <b/>
      <u val="single"/>
      <sz val="6"/>
      <color indexed="8"/>
      <name val="Arial"/>
      <family val="2"/>
    </font>
    <font>
      <b/>
      <u val="single"/>
      <sz val="20"/>
      <color indexed="8"/>
      <name val="Arial"/>
      <family val="2"/>
    </font>
    <font>
      <b/>
      <sz val="10"/>
      <color indexed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0"/>
      <color rgb="FF000000"/>
      <name val="Arial1"/>
      <family val="0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u val="single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rgb="FF000000"/>
      <name val="Arial"/>
      <family val="2"/>
    </font>
    <font>
      <sz val="8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FF"/>
      <name val="Arial"/>
      <family val="2"/>
    </font>
    <font>
      <sz val="10"/>
      <color rgb="FFC00000"/>
      <name val="Arial"/>
      <family val="2"/>
    </font>
    <font>
      <sz val="6"/>
      <color rgb="FF000000"/>
      <name val="Arial"/>
      <family val="2"/>
    </font>
    <font>
      <b/>
      <u val="single"/>
      <sz val="6"/>
      <color rgb="FF000000"/>
      <name val="Arial"/>
      <family val="2"/>
    </font>
    <font>
      <sz val="12"/>
      <color rgb="FF000000"/>
      <name val="Times New Roman"/>
      <family val="1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b/>
      <u val="single"/>
      <sz val="20"/>
      <color rgb="FF00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50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7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67" fontId="48" fillId="0" borderId="0" applyBorder="0" applyProtection="0">
      <alignment/>
    </xf>
    <xf numFmtId="168" fontId="48" fillId="0" borderId="0" applyBorder="0" applyProtection="0">
      <alignment/>
    </xf>
    <xf numFmtId="0" fontId="49" fillId="0" borderId="0" applyNumberFormat="0" applyBorder="0" applyProtection="0">
      <alignment horizontal="center"/>
    </xf>
    <xf numFmtId="0" fontId="49" fillId="0" borderId="0" applyNumberFormat="0" applyBorder="0" applyProtection="0">
      <alignment horizontal="center" textRotation="90"/>
    </xf>
    <xf numFmtId="0" fontId="50" fillId="28" borderId="1" applyNumberFormat="0" applyAlignment="0" applyProtection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0" fontId="51" fillId="29" borderId="0" applyNumberFormat="0" applyBorder="0" applyAlignment="0" applyProtection="0"/>
    <xf numFmtId="0" fontId="43" fillId="30" borderId="4" applyNumberFormat="0" applyFont="0" applyAlignment="0" applyProtection="0"/>
    <xf numFmtId="0" fontId="52" fillId="20" borderId="5" applyNumberFormat="0" applyAlignment="0" applyProtection="0"/>
    <xf numFmtId="9" fontId="43" fillId="0" borderId="0" applyFont="0" applyFill="0" applyBorder="0" applyAlignment="0" applyProtection="0"/>
    <xf numFmtId="0" fontId="53" fillId="0" borderId="0" applyNumberFormat="0" applyBorder="0" applyProtection="0">
      <alignment/>
    </xf>
    <xf numFmtId="172" fontId="53" fillId="0" borderId="0" applyBorder="0" applyProtection="0">
      <alignment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66" fontId="48" fillId="0" borderId="0" xfId="42" applyNumberFormat="1">
      <alignment/>
    </xf>
    <xf numFmtId="166" fontId="63" fillId="0" borderId="0" xfId="42" applyNumberFormat="1" applyFont="1">
      <alignment/>
    </xf>
    <xf numFmtId="166" fontId="64" fillId="0" borderId="0" xfId="42" applyNumberFormat="1" applyFont="1" applyAlignment="1">
      <alignment horizontal="left" vertical="center"/>
    </xf>
    <xf numFmtId="166" fontId="65" fillId="0" borderId="0" xfId="42" applyNumberFormat="1" applyFont="1" applyAlignment="1">
      <alignment horizontal="left" vertical="center"/>
    </xf>
    <xf numFmtId="166" fontId="63" fillId="0" borderId="0" xfId="42" applyNumberFormat="1" applyFont="1" applyAlignment="1">
      <alignment horizontal="left" vertical="center"/>
    </xf>
    <xf numFmtId="166" fontId="66" fillId="0" borderId="0" xfId="42" applyNumberFormat="1" applyFont="1" applyAlignment="1">
      <alignment horizontal="left" vertical="center"/>
    </xf>
    <xf numFmtId="166" fontId="65" fillId="0" borderId="10" xfId="42" applyNumberFormat="1" applyFont="1" applyBorder="1" applyAlignment="1">
      <alignment horizontal="left" vertical="center"/>
    </xf>
    <xf numFmtId="166" fontId="65" fillId="33" borderId="10" xfId="42" applyNumberFormat="1" applyFont="1" applyFill="1" applyBorder="1" applyAlignment="1">
      <alignment horizontal="left" vertical="center"/>
    </xf>
    <xf numFmtId="166" fontId="48" fillId="0" borderId="10" xfId="42" applyNumberFormat="1" applyBorder="1">
      <alignment/>
    </xf>
    <xf numFmtId="166" fontId="63" fillId="0" borderId="10" xfId="42" applyNumberFormat="1" applyFont="1" applyBorder="1">
      <alignment/>
    </xf>
    <xf numFmtId="168" fontId="65" fillId="33" borderId="10" xfId="43" applyFont="1" applyFill="1" applyBorder="1" applyAlignment="1">
      <alignment horizontal="center" vertical="center"/>
    </xf>
    <xf numFmtId="170" fontId="65" fillId="0" borderId="10" xfId="42" applyNumberFormat="1" applyFont="1" applyBorder="1" applyAlignment="1">
      <alignment horizontal="left" vertical="center"/>
    </xf>
    <xf numFmtId="166" fontId="63" fillId="0" borderId="0" xfId="42" applyNumberFormat="1" applyFont="1" applyAlignment="1">
      <alignment horizontal="right" vertical="center"/>
    </xf>
    <xf numFmtId="171" fontId="65" fillId="33" borderId="11" xfId="43" applyNumberFormat="1" applyFont="1" applyFill="1" applyBorder="1" applyAlignment="1">
      <alignment horizontal="center" vertical="center"/>
    </xf>
    <xf numFmtId="168" fontId="65" fillId="0" borderId="0" xfId="43" applyFont="1" applyAlignment="1">
      <alignment horizontal="center" vertical="center"/>
    </xf>
    <xf numFmtId="170" fontId="65" fillId="0" borderId="0" xfId="42" applyNumberFormat="1" applyFont="1" applyAlignment="1">
      <alignment horizontal="left" vertical="center"/>
    </xf>
    <xf numFmtId="166" fontId="63" fillId="0" borderId="12" xfId="42" applyNumberFormat="1" applyFont="1" applyBorder="1" applyAlignment="1">
      <alignment horizontal="left" vertical="center"/>
    </xf>
    <xf numFmtId="166" fontId="63" fillId="0" borderId="13" xfId="42" applyNumberFormat="1" applyFont="1" applyBorder="1" applyAlignment="1">
      <alignment horizontal="left" vertical="center"/>
    </xf>
    <xf numFmtId="166" fontId="63" fillId="0" borderId="13" xfId="42" applyNumberFormat="1" applyFont="1" applyBorder="1">
      <alignment/>
    </xf>
    <xf numFmtId="166" fontId="67" fillId="0" borderId="14" xfId="42" applyNumberFormat="1" applyFont="1" applyBorder="1" applyAlignment="1">
      <alignment horizontal="center" vertical="center" wrapText="1"/>
    </xf>
    <xf numFmtId="166" fontId="65" fillId="34" borderId="14" xfId="42" applyNumberFormat="1" applyFont="1" applyFill="1" applyBorder="1" applyAlignment="1">
      <alignment horizontal="center" vertical="center"/>
    </xf>
    <xf numFmtId="166" fontId="63" fillId="0" borderId="12" xfId="42" applyNumberFormat="1" applyFont="1" applyBorder="1" applyAlignment="1">
      <alignment horizontal="left" vertical="center" wrapText="1"/>
    </xf>
    <xf numFmtId="166" fontId="65" fillId="35" borderId="14" xfId="42" applyNumberFormat="1" applyFont="1" applyFill="1" applyBorder="1" applyAlignment="1">
      <alignment horizontal="center" vertical="center"/>
    </xf>
    <xf numFmtId="166" fontId="65" fillId="0" borderId="14" xfId="42" applyNumberFormat="1" applyFont="1" applyBorder="1" applyAlignment="1">
      <alignment horizontal="center" vertical="center"/>
    </xf>
    <xf numFmtId="166" fontId="63" fillId="0" borderId="0" xfId="42" applyNumberFormat="1" applyFont="1" applyAlignment="1">
      <alignment horizontal="right"/>
    </xf>
    <xf numFmtId="166" fontId="63" fillId="0" borderId="0" xfId="42" applyNumberFormat="1" applyFont="1" applyAlignment="1">
      <alignment horizontal="right" wrapText="1"/>
    </xf>
    <xf numFmtId="170" fontId="63" fillId="0" borderId="0" xfId="42" applyNumberFormat="1" applyFont="1" applyAlignment="1">
      <alignment horizontal="center" vertical="center"/>
    </xf>
    <xf numFmtId="166" fontId="63" fillId="0" borderId="10" xfId="42" applyNumberFormat="1" applyFont="1" applyBorder="1" applyAlignment="1">
      <alignment horizontal="left" vertical="center"/>
    </xf>
    <xf numFmtId="166" fontId="64" fillId="0" borderId="10" xfId="42" applyNumberFormat="1" applyFont="1" applyBorder="1" applyAlignment="1">
      <alignment horizontal="left" vertical="center"/>
    </xf>
    <xf numFmtId="170" fontId="63" fillId="0" borderId="10" xfId="42" applyNumberFormat="1" applyFont="1" applyBorder="1" applyAlignment="1">
      <alignment horizontal="center" vertical="center"/>
    </xf>
    <xf numFmtId="166" fontId="63" fillId="34" borderId="14" xfId="42" applyNumberFormat="1" applyFont="1" applyFill="1" applyBorder="1" applyAlignment="1">
      <alignment horizontal="center" vertical="center"/>
    </xf>
    <xf numFmtId="166" fontId="63" fillId="0" borderId="14" xfId="42" applyNumberFormat="1" applyFont="1" applyBorder="1" applyAlignment="1">
      <alignment horizontal="center" vertical="center"/>
    </xf>
    <xf numFmtId="166" fontId="65" fillId="0" borderId="12" xfId="42" applyNumberFormat="1" applyFont="1" applyBorder="1" applyAlignment="1">
      <alignment horizontal="left" vertical="center"/>
    </xf>
    <xf numFmtId="166" fontId="65" fillId="0" borderId="13" xfId="42" applyNumberFormat="1" applyFont="1" applyBorder="1" applyAlignment="1">
      <alignment horizontal="left" vertical="center"/>
    </xf>
    <xf numFmtId="166" fontId="63" fillId="36" borderId="0" xfId="42" applyNumberFormat="1" applyFont="1" applyFill="1" applyAlignment="1">
      <alignment horizontal="left" vertical="center"/>
    </xf>
    <xf numFmtId="166" fontId="63" fillId="34" borderId="0" xfId="42" applyNumberFormat="1" applyFont="1" applyFill="1" applyAlignment="1">
      <alignment horizontal="left" vertical="center"/>
    </xf>
    <xf numFmtId="166" fontId="65" fillId="0" borderId="0" xfId="42" applyNumberFormat="1" applyFont="1" applyAlignment="1">
      <alignment horizontal="center" vertical="center"/>
    </xf>
    <xf numFmtId="168" fontId="65" fillId="0" borderId="10" xfId="43" applyFont="1" applyBorder="1" applyAlignment="1">
      <alignment horizontal="center" vertical="center"/>
    </xf>
    <xf numFmtId="170" fontId="65" fillId="0" borderId="0" xfId="42" applyNumberFormat="1" applyFont="1" applyAlignment="1">
      <alignment horizontal="center" vertical="center"/>
    </xf>
    <xf numFmtId="171" fontId="63" fillId="0" borderId="0" xfId="43" applyNumberFormat="1" applyFont="1" applyAlignment="1">
      <alignment horizontal="center" vertical="center"/>
    </xf>
    <xf numFmtId="166" fontId="68" fillId="0" borderId="0" xfId="42" applyNumberFormat="1" applyFont="1" applyAlignment="1">
      <alignment horizontal="left" vertical="center"/>
    </xf>
    <xf numFmtId="166" fontId="69" fillId="0" borderId="0" xfId="42" applyNumberFormat="1" applyFont="1" applyAlignment="1">
      <alignment horizontal="right" vertical="center"/>
    </xf>
    <xf numFmtId="166" fontId="69" fillId="0" borderId="0" xfId="42" applyNumberFormat="1" applyFont="1" applyAlignment="1">
      <alignment horizontal="left" vertical="center"/>
    </xf>
    <xf numFmtId="171" fontId="69" fillId="0" borderId="0" xfId="43" applyNumberFormat="1" applyFont="1" applyAlignment="1">
      <alignment horizontal="center" vertical="center"/>
    </xf>
    <xf numFmtId="166" fontId="63" fillId="0" borderId="15" xfId="42" applyNumberFormat="1" applyFont="1" applyBorder="1" applyAlignment="1">
      <alignment horizontal="left" vertical="center"/>
    </xf>
    <xf numFmtId="166" fontId="67" fillId="0" borderId="15" xfId="42" applyNumberFormat="1" applyFont="1" applyBorder="1" applyAlignment="1">
      <alignment horizontal="center" vertical="center" wrapText="1"/>
    </xf>
    <xf numFmtId="166" fontId="63" fillId="0" borderId="15" xfId="42" applyNumberFormat="1" applyFont="1" applyBorder="1" applyAlignment="1">
      <alignment horizontal="center" vertical="center"/>
    </xf>
    <xf numFmtId="171" fontId="63" fillId="0" borderId="15" xfId="42" applyNumberFormat="1" applyFont="1" applyBorder="1" applyAlignment="1">
      <alignment horizontal="center" vertical="center"/>
    </xf>
    <xf numFmtId="166" fontId="63" fillId="0" borderId="14" xfId="42" applyNumberFormat="1" applyFont="1" applyBorder="1" applyAlignment="1">
      <alignment horizontal="left" vertical="center" wrapText="1"/>
    </xf>
    <xf numFmtId="166" fontId="63" fillId="0" borderId="14" xfId="42" applyNumberFormat="1" applyFont="1" applyBorder="1" applyAlignment="1">
      <alignment horizontal="left" vertical="center"/>
    </xf>
    <xf numFmtId="166" fontId="63" fillId="0" borderId="14" xfId="42" applyNumberFormat="1" applyFont="1" applyBorder="1" applyAlignment="1">
      <alignment horizontal="right" vertical="center"/>
    </xf>
    <xf numFmtId="166" fontId="63" fillId="34" borderId="14" xfId="42" applyNumberFormat="1" applyFont="1" applyFill="1" applyBorder="1" applyAlignment="1">
      <alignment horizontal="right" vertical="center"/>
    </xf>
    <xf numFmtId="171" fontId="63" fillId="0" borderId="14" xfId="42" applyNumberFormat="1" applyFont="1" applyBorder="1" applyAlignment="1">
      <alignment horizontal="right" vertical="center"/>
    </xf>
    <xf numFmtId="166" fontId="65" fillId="0" borderId="14" xfId="42" applyNumberFormat="1" applyFont="1" applyBorder="1" applyAlignment="1">
      <alignment horizontal="left" vertical="center" wrapText="1"/>
    </xf>
    <xf numFmtId="166" fontId="65" fillId="0" borderId="14" xfId="42" applyNumberFormat="1" applyFont="1" applyBorder="1" applyAlignment="1">
      <alignment horizontal="left" vertical="center"/>
    </xf>
    <xf numFmtId="166" fontId="65" fillId="0" borderId="14" xfId="42" applyNumberFormat="1" applyFont="1" applyBorder="1" applyAlignment="1">
      <alignment horizontal="right" vertical="center"/>
    </xf>
    <xf numFmtId="166" fontId="65" fillId="34" borderId="14" xfId="42" applyNumberFormat="1" applyFont="1" applyFill="1" applyBorder="1" applyAlignment="1">
      <alignment horizontal="right" vertical="center"/>
    </xf>
    <xf numFmtId="171" fontId="65" fillId="0" borderId="14" xfId="42" applyNumberFormat="1" applyFont="1" applyBorder="1" applyAlignment="1">
      <alignment horizontal="right" vertical="center"/>
    </xf>
    <xf numFmtId="166" fontId="63" fillId="0" borderId="16" xfId="42" applyNumberFormat="1" applyFont="1" applyBorder="1" applyAlignment="1">
      <alignment horizontal="left" vertical="center" wrapText="1"/>
    </xf>
    <xf numFmtId="166" fontId="63" fillId="0" borderId="16" xfId="42" applyNumberFormat="1" applyFont="1" applyBorder="1" applyAlignment="1">
      <alignment horizontal="left" vertical="center"/>
    </xf>
    <xf numFmtId="166" fontId="63" fillId="0" borderId="16" xfId="42" applyNumberFormat="1" applyFont="1" applyBorder="1" applyAlignment="1">
      <alignment horizontal="right" vertical="center"/>
    </xf>
    <xf numFmtId="166" fontId="63" fillId="34" borderId="16" xfId="42" applyNumberFormat="1" applyFont="1" applyFill="1" applyBorder="1" applyAlignment="1">
      <alignment horizontal="right" vertical="center"/>
    </xf>
    <xf numFmtId="171" fontId="63" fillId="0" borderId="16" xfId="42" applyNumberFormat="1" applyFont="1" applyBorder="1" applyAlignment="1">
      <alignment horizontal="right" vertical="center"/>
    </xf>
    <xf numFmtId="166" fontId="70" fillId="0" borderId="17" xfId="42" applyNumberFormat="1" applyFont="1" applyBorder="1" applyAlignment="1">
      <alignment horizontal="left" vertical="center" wrapText="1"/>
    </xf>
    <xf numFmtId="166" fontId="70" fillId="0" borderId="17" xfId="42" applyNumberFormat="1" applyFont="1" applyBorder="1" applyAlignment="1">
      <alignment horizontal="left" vertical="center"/>
    </xf>
    <xf numFmtId="166" fontId="70" fillId="0" borderId="17" xfId="42" applyNumberFormat="1" applyFont="1" applyBorder="1" applyAlignment="1">
      <alignment horizontal="right" vertical="center"/>
    </xf>
    <xf numFmtId="166" fontId="70" fillId="34" borderId="17" xfId="42" applyNumberFormat="1" applyFont="1" applyFill="1" applyBorder="1" applyAlignment="1">
      <alignment horizontal="right" vertical="center"/>
    </xf>
    <xf numFmtId="171" fontId="70" fillId="0" borderId="17" xfId="42" applyNumberFormat="1" applyFont="1" applyBorder="1" applyAlignment="1">
      <alignment horizontal="right" vertical="center"/>
    </xf>
    <xf numFmtId="166" fontId="70" fillId="0" borderId="14" xfId="42" applyNumberFormat="1" applyFont="1" applyBorder="1" applyAlignment="1">
      <alignment horizontal="left" vertical="center" wrapText="1"/>
    </xf>
    <xf numFmtId="166" fontId="70" fillId="0" borderId="14" xfId="42" applyNumberFormat="1" applyFont="1" applyBorder="1" applyAlignment="1">
      <alignment horizontal="left" vertical="center"/>
    </xf>
    <xf numFmtId="166" fontId="70" fillId="0" borderId="14" xfId="42" applyNumberFormat="1" applyFont="1" applyBorder="1" applyAlignment="1">
      <alignment horizontal="right" vertical="center"/>
    </xf>
    <xf numFmtId="166" fontId="70" fillId="34" borderId="14" xfId="42" applyNumberFormat="1" applyFont="1" applyFill="1" applyBorder="1" applyAlignment="1">
      <alignment horizontal="right" vertical="center"/>
    </xf>
    <xf numFmtId="171" fontId="70" fillId="0" borderId="14" xfId="42" applyNumberFormat="1" applyFont="1" applyBorder="1" applyAlignment="1">
      <alignment horizontal="right" vertical="center"/>
    </xf>
    <xf numFmtId="166" fontId="71" fillId="0" borderId="0" xfId="42" applyNumberFormat="1" applyFont="1" applyAlignment="1">
      <alignment horizontal="left" vertical="center"/>
    </xf>
    <xf numFmtId="166" fontId="72" fillId="0" borderId="0" xfId="42" applyNumberFormat="1" applyFont="1" applyAlignment="1">
      <alignment horizontal="left" vertical="center"/>
    </xf>
    <xf numFmtId="166" fontId="63" fillId="0" borderId="14" xfId="42" applyNumberFormat="1" applyFont="1" applyBorder="1">
      <alignment/>
    </xf>
    <xf numFmtId="166" fontId="63" fillId="34" borderId="13" xfId="42" applyNumberFormat="1" applyFont="1" applyFill="1" applyBorder="1">
      <alignment/>
    </xf>
    <xf numFmtId="171" fontId="48" fillId="0" borderId="0" xfId="42" applyNumberFormat="1">
      <alignment/>
    </xf>
    <xf numFmtId="166" fontId="63" fillId="0" borderId="18" xfId="42" applyNumberFormat="1" applyFont="1" applyBorder="1" applyAlignment="1">
      <alignment horizontal="left" vertical="center"/>
    </xf>
    <xf numFmtId="166" fontId="63" fillId="0" borderId="11" xfId="42" applyNumberFormat="1" applyFont="1" applyBorder="1" applyAlignment="1">
      <alignment horizontal="left" vertical="center"/>
    </xf>
    <xf numFmtId="166" fontId="63" fillId="0" borderId="15" xfId="42" applyNumberFormat="1" applyFont="1" applyBorder="1">
      <alignment/>
    </xf>
    <xf numFmtId="166" fontId="63" fillId="0" borderId="0" xfId="42" applyNumberFormat="1" applyFont="1" applyAlignment="1">
      <alignment horizontal="left" vertical="center" wrapText="1"/>
    </xf>
    <xf numFmtId="166" fontId="63" fillId="0" borderId="0" xfId="42" applyNumberFormat="1" applyFont="1" applyAlignment="1">
      <alignment vertical="center"/>
    </xf>
    <xf numFmtId="166" fontId="67" fillId="0" borderId="12" xfId="42" applyNumberFormat="1" applyFont="1" applyBorder="1" applyAlignment="1">
      <alignment horizontal="left" vertical="center"/>
    </xf>
    <xf numFmtId="166" fontId="67" fillId="0" borderId="13" xfId="42" applyNumberFormat="1" applyFont="1" applyBorder="1" applyAlignment="1">
      <alignment horizontal="left" vertical="center"/>
    </xf>
    <xf numFmtId="166" fontId="67" fillId="0" borderId="14" xfId="42" applyNumberFormat="1" applyFont="1" applyBorder="1" applyAlignment="1">
      <alignment horizontal="center" vertical="center"/>
    </xf>
    <xf numFmtId="171" fontId="67" fillId="0" borderId="14" xfId="42" applyNumberFormat="1" applyFont="1" applyBorder="1" applyAlignment="1">
      <alignment horizontal="center" vertical="center"/>
    </xf>
    <xf numFmtId="166" fontId="63" fillId="0" borderId="19" xfId="42" applyNumberFormat="1" applyFont="1" applyBorder="1" applyAlignment="1">
      <alignment horizontal="left" vertical="center"/>
    </xf>
    <xf numFmtId="166" fontId="63" fillId="0" borderId="17" xfId="42" applyNumberFormat="1" applyFont="1" applyBorder="1" applyAlignment="1">
      <alignment horizontal="right" vertical="center"/>
    </xf>
    <xf numFmtId="166" fontId="65" fillId="34" borderId="17" xfId="42" applyNumberFormat="1" applyFont="1" applyFill="1" applyBorder="1" applyAlignment="1">
      <alignment horizontal="right" vertical="center"/>
    </xf>
    <xf numFmtId="166" fontId="63" fillId="0" borderId="17" xfId="42" applyNumberFormat="1" applyFont="1" applyBorder="1" applyAlignment="1">
      <alignment horizontal="left" vertical="center"/>
    </xf>
    <xf numFmtId="166" fontId="48" fillId="0" borderId="20" xfId="42" applyNumberFormat="1" applyBorder="1">
      <alignment/>
    </xf>
    <xf numFmtId="166" fontId="65" fillId="0" borderId="16" xfId="42" applyNumberFormat="1" applyFont="1" applyBorder="1" applyAlignment="1">
      <alignment horizontal="left" vertical="center" wrapText="1"/>
    </xf>
    <xf numFmtId="166" fontId="63" fillId="34" borderId="13" xfId="42" applyNumberFormat="1" applyFont="1" applyFill="1" applyBorder="1" applyAlignment="1">
      <alignment horizontal="right" vertical="center"/>
    </xf>
    <xf numFmtId="166" fontId="63" fillId="0" borderId="21" xfId="42" applyNumberFormat="1" applyFont="1" applyBorder="1" applyAlignment="1">
      <alignment horizontal="left" vertical="center"/>
    </xf>
    <xf numFmtId="166" fontId="65" fillId="0" borderId="13" xfId="42" applyNumberFormat="1" applyFont="1" applyBorder="1">
      <alignment/>
    </xf>
    <xf numFmtId="166" fontId="67" fillId="0" borderId="12" xfId="42" applyNumberFormat="1" applyFont="1" applyBorder="1" applyAlignment="1">
      <alignment horizontal="center" vertical="center"/>
    </xf>
    <xf numFmtId="166" fontId="67" fillId="0" borderId="13" xfId="42" applyNumberFormat="1" applyFont="1" applyBorder="1" applyAlignment="1">
      <alignment horizontal="center" vertical="center"/>
    </xf>
    <xf numFmtId="166" fontId="67" fillId="0" borderId="21" xfId="42" applyNumberFormat="1" applyFont="1" applyBorder="1" applyAlignment="1">
      <alignment horizontal="center"/>
    </xf>
    <xf numFmtId="166" fontId="48" fillId="0" borderId="0" xfId="42" applyNumberFormat="1" applyAlignment="1">
      <alignment horizontal="center"/>
    </xf>
    <xf numFmtId="166" fontId="73" fillId="0" borderId="0" xfId="42" applyNumberFormat="1" applyFont="1" applyAlignment="1">
      <alignment horizontal="center" vertical="center"/>
    </xf>
    <xf numFmtId="166" fontId="63" fillId="34" borderId="0" xfId="42" applyNumberFormat="1" applyFont="1" applyFill="1" applyAlignment="1">
      <alignment horizontal="right" vertical="center"/>
    </xf>
    <xf numFmtId="166" fontId="73" fillId="0" borderId="0" xfId="42" applyNumberFormat="1" applyFont="1" applyAlignment="1">
      <alignment horizontal="left" vertical="center"/>
    </xf>
    <xf numFmtId="166" fontId="65" fillId="0" borderId="0" xfId="42" applyNumberFormat="1" applyFont="1" applyAlignment="1">
      <alignment vertical="center"/>
    </xf>
    <xf numFmtId="166" fontId="74" fillId="0" borderId="14" xfId="42" applyNumberFormat="1" applyFont="1" applyBorder="1">
      <alignment/>
    </xf>
    <xf numFmtId="166" fontId="75" fillId="0" borderId="14" xfId="42" applyNumberFormat="1" applyFont="1" applyBorder="1">
      <alignment/>
    </xf>
    <xf numFmtId="166" fontId="74" fillId="0" borderId="0" xfId="42" applyNumberFormat="1" applyFont="1">
      <alignment/>
    </xf>
    <xf numFmtId="166" fontId="75" fillId="0" borderId="0" xfId="42" applyNumberFormat="1" applyFont="1">
      <alignment/>
    </xf>
    <xf numFmtId="167" fontId="75" fillId="0" borderId="0" xfId="42" applyFont="1">
      <alignment/>
    </xf>
    <xf numFmtId="167" fontId="48" fillId="0" borderId="0" xfId="42">
      <alignment/>
    </xf>
    <xf numFmtId="166" fontId="75" fillId="33" borderId="14" xfId="42" applyNumberFormat="1" applyFont="1" applyFill="1" applyBorder="1">
      <alignment/>
    </xf>
    <xf numFmtId="166" fontId="75" fillId="0" borderId="14" xfId="42" applyNumberFormat="1" applyFont="1" applyBorder="1" applyAlignment="1">
      <alignment horizontal="left" vertical="center"/>
    </xf>
    <xf numFmtId="166" fontId="75" fillId="0" borderId="14" xfId="42" applyNumberFormat="1" applyFont="1" applyBorder="1" applyAlignment="1">
      <alignment horizontal="right" vertical="center"/>
    </xf>
    <xf numFmtId="166" fontId="75" fillId="0" borderId="0" xfId="42" applyNumberFormat="1" applyFont="1" applyAlignment="1">
      <alignment horizontal="left" vertical="center"/>
    </xf>
    <xf numFmtId="167" fontId="74" fillId="0" borderId="14" xfId="42" applyFont="1" applyBorder="1">
      <alignment/>
    </xf>
    <xf numFmtId="169" fontId="75" fillId="0" borderId="14" xfId="42" applyNumberFormat="1" applyFont="1" applyBorder="1">
      <alignment/>
    </xf>
    <xf numFmtId="169" fontId="75" fillId="0" borderId="0" xfId="42" applyNumberFormat="1" applyFont="1">
      <alignment/>
    </xf>
    <xf numFmtId="166" fontId="63" fillId="0" borderId="14" xfId="42" applyNumberFormat="1" applyFont="1" applyBorder="1" applyAlignment="1">
      <alignment horizontal="left" vertical="center" wrapText="1"/>
    </xf>
    <xf numFmtId="166" fontId="63" fillId="0" borderId="0" xfId="42" applyNumberFormat="1" applyFont="1" applyAlignment="1">
      <alignment horizontal="left" vertical="center" wrapText="1"/>
    </xf>
    <xf numFmtId="166" fontId="64" fillId="0" borderId="0" xfId="42" applyNumberFormat="1" applyFont="1" applyAlignment="1">
      <alignment horizontal="left" vertical="center" wrapText="1"/>
    </xf>
    <xf numFmtId="166" fontId="64" fillId="0" borderId="0" xfId="42" applyNumberFormat="1" applyFont="1" applyAlignment="1">
      <alignment horizontal="center" vertical="center"/>
    </xf>
    <xf numFmtId="166" fontId="64" fillId="0" borderId="0" xfId="42" applyNumberFormat="1" applyFont="1" applyAlignment="1">
      <alignment horizontal="center"/>
    </xf>
    <xf numFmtId="166" fontId="65" fillId="0" borderId="14" xfId="42" applyNumberFormat="1" applyFont="1" applyBorder="1" applyAlignment="1">
      <alignment horizontal="center" vertical="center" wrapText="1"/>
    </xf>
    <xf numFmtId="166" fontId="63" fillId="0" borderId="0" xfId="42" applyNumberFormat="1" applyFont="1" applyAlignment="1">
      <alignment horizontal="center" vertical="center" wrapText="1"/>
    </xf>
    <xf numFmtId="166" fontId="76" fillId="0" borderId="0" xfId="42" applyNumberFormat="1" applyFont="1" applyAlignment="1">
      <alignment horizontal="center" vertical="center"/>
    </xf>
    <xf numFmtId="166" fontId="77" fillId="0" borderId="14" xfId="42" applyNumberFormat="1" applyFont="1" applyBorder="1" applyAlignment="1">
      <alignment horizontal="justify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Excel Built-in Percent" xfId="43"/>
    <cellStyle name="Heading" xfId="44"/>
    <cellStyle name="Heading1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Result" xfId="53"/>
    <cellStyle name="Result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">
      <selection activeCell="L13" sqref="L13"/>
    </sheetView>
  </sheetViews>
  <sheetFormatPr defaultColWidth="10.625" defaultRowHeight="14.25"/>
  <cols>
    <col min="1" max="1" width="27.50390625" style="1" customWidth="1"/>
    <col min="2" max="2" width="4.375" style="1" customWidth="1"/>
    <col min="3" max="3" width="10.375" style="1" customWidth="1"/>
    <col min="4" max="4" width="13.00390625" style="1" customWidth="1"/>
    <col min="5" max="5" width="11.00390625" style="1" customWidth="1"/>
    <col min="6" max="6" width="8.375" style="1" customWidth="1"/>
    <col min="7" max="7" width="11.375" style="1" customWidth="1"/>
    <col min="8" max="8" width="10.75390625" style="1" customWidth="1"/>
    <col min="9" max="16384" width="10.625" style="1" customWidth="1"/>
  </cols>
  <sheetData>
    <row r="1" spans="1:7" ht="12.75">
      <c r="A1" s="121" t="s">
        <v>0</v>
      </c>
      <c r="B1" s="121"/>
      <c r="C1" s="121"/>
      <c r="D1" s="121"/>
      <c r="E1" s="121"/>
      <c r="F1" s="121"/>
      <c r="G1" s="121"/>
    </row>
    <row r="2" spans="1:7" ht="12.75">
      <c r="A2" s="121" t="s">
        <v>1</v>
      </c>
      <c r="B2" s="121"/>
      <c r="C2" s="121"/>
      <c r="D2" s="121"/>
      <c r="E2" s="121"/>
      <c r="F2" s="121"/>
      <c r="G2" s="121"/>
    </row>
    <row r="3" spans="1:7" ht="12.75">
      <c r="A3" s="2"/>
      <c r="B3" s="3"/>
      <c r="C3" s="4" t="s">
        <v>2</v>
      </c>
      <c r="D3" s="5"/>
      <c r="E3" s="5"/>
      <c r="F3" s="5"/>
      <c r="G3" s="5"/>
    </row>
    <row r="4" spans="1:7" ht="12.75">
      <c r="A4" s="121" t="s">
        <v>3</v>
      </c>
      <c r="B4" s="121"/>
      <c r="C4" s="121"/>
      <c r="D4" s="121"/>
      <c r="E4" s="121"/>
      <c r="F4" s="121"/>
      <c r="G4" s="121"/>
    </row>
    <row r="5" spans="1:7" ht="12" customHeight="1">
      <c r="A5" s="122" t="s">
        <v>4</v>
      </c>
      <c r="B5" s="122"/>
      <c r="C5" s="122"/>
      <c r="D5" s="122"/>
      <c r="E5" s="122"/>
      <c r="F5" s="122"/>
      <c r="G5" s="122"/>
    </row>
    <row r="6" spans="1:7" ht="26.25">
      <c r="A6" s="125" t="s">
        <v>5</v>
      </c>
      <c r="B6" s="125"/>
      <c r="C6" s="125"/>
      <c r="D6" s="125"/>
      <c r="E6" s="125"/>
      <c r="F6" s="125"/>
      <c r="G6" s="125"/>
    </row>
    <row r="7" spans="1:7" ht="12.75">
      <c r="A7" s="6"/>
      <c r="B7" s="6"/>
      <c r="C7" s="5"/>
      <c r="D7" s="5"/>
      <c r="E7" s="5"/>
      <c r="F7" s="5"/>
      <c r="G7" s="5"/>
    </row>
    <row r="8" spans="1:7" ht="12.75">
      <c r="A8" s="7" t="s">
        <v>108</v>
      </c>
      <c r="B8" s="8" t="s">
        <v>93</v>
      </c>
      <c r="C8" s="9"/>
      <c r="D8" s="10"/>
      <c r="E8" s="7" t="s">
        <v>7</v>
      </c>
      <c r="F8" s="11">
        <v>1</v>
      </c>
      <c r="G8" s="12"/>
    </row>
    <row r="9" spans="1:7" ht="12.75">
      <c r="A9" s="13" t="s">
        <v>8</v>
      </c>
      <c r="B9" s="4"/>
      <c r="C9" s="14">
        <v>0.5</v>
      </c>
      <c r="D9" s="2"/>
      <c r="E9" s="4"/>
      <c r="F9" s="15"/>
      <c r="G9" s="16"/>
    </row>
    <row r="10" spans="1:7" ht="12.75">
      <c r="A10" s="5"/>
      <c r="B10" s="5"/>
      <c r="C10" s="5"/>
      <c r="D10" s="5"/>
      <c r="E10" s="5"/>
      <c r="F10" s="5"/>
      <c r="G10" s="5"/>
    </row>
    <row r="11" spans="1:7" ht="15.75">
      <c r="A11" s="5" t="s">
        <v>9</v>
      </c>
      <c r="B11" s="5"/>
      <c r="C11" s="5"/>
      <c r="D11" s="5"/>
      <c r="E11" s="5"/>
      <c r="F11" s="5"/>
      <c r="G11" s="5"/>
    </row>
    <row r="12" spans="1:7" ht="12.75">
      <c r="A12" s="5"/>
      <c r="B12" s="5"/>
      <c r="C12" s="5"/>
      <c r="D12" s="5"/>
      <c r="E12" s="5"/>
      <c r="F12" s="5"/>
      <c r="G12" s="5"/>
    </row>
    <row r="13" spans="1:7" ht="33.75">
      <c r="A13" s="17"/>
      <c r="B13" s="18"/>
      <c r="C13" s="19"/>
      <c r="D13" s="19"/>
      <c r="E13" s="18"/>
      <c r="F13" s="20" t="s">
        <v>10</v>
      </c>
      <c r="G13" s="20" t="s">
        <v>11</v>
      </c>
    </row>
    <row r="14" spans="1:7" ht="12.75">
      <c r="A14" s="17" t="s">
        <v>12</v>
      </c>
      <c r="B14" s="18"/>
      <c r="C14" s="19"/>
      <c r="D14" s="19"/>
      <c r="E14" s="18"/>
      <c r="F14" s="21">
        <f>VLOOKUP($B$8,LEGGE!$A$2:$C$6,2)</f>
        <v>1.2394965578147676</v>
      </c>
      <c r="G14" s="21">
        <f>F14*(1+$C$9)</f>
        <v>1.8592448367221515</v>
      </c>
    </row>
    <row r="15" spans="1:7" ht="38.25">
      <c r="A15" s="22" t="s">
        <v>13</v>
      </c>
      <c r="B15" s="18"/>
      <c r="C15" s="19"/>
      <c r="D15" s="19"/>
      <c r="E15" s="18"/>
      <c r="F15" s="23">
        <f>VLOOKUP($B$8,LEGGE!$A$2:$C$6,3)</f>
        <v>0.3718489673444303</v>
      </c>
      <c r="G15" s="24">
        <f>F15*(1+$C$9)</f>
        <v>0.5577734510166454</v>
      </c>
    </row>
    <row r="16" spans="1:7" ht="12.75">
      <c r="A16" s="4"/>
      <c r="B16" s="4"/>
      <c r="C16" s="5"/>
      <c r="D16" s="5"/>
      <c r="E16" s="5"/>
      <c r="F16" s="5"/>
      <c r="G16" s="5"/>
    </row>
    <row r="17" spans="1:7" ht="12.75">
      <c r="A17" s="5" t="s">
        <v>14</v>
      </c>
      <c r="B17" s="25" t="s">
        <v>15</v>
      </c>
      <c r="C17" s="26"/>
      <c r="D17" s="27">
        <v>1</v>
      </c>
      <c r="E17" s="2"/>
      <c r="F17" s="2"/>
      <c r="G17" s="2"/>
    </row>
    <row r="18" spans="1:7" ht="12.75">
      <c r="A18" s="5" t="s">
        <v>16</v>
      </c>
      <c r="B18" s="25" t="s">
        <v>17</v>
      </c>
      <c r="C18" s="25"/>
      <c r="D18" s="27">
        <v>2</v>
      </c>
      <c r="E18" s="2"/>
      <c r="F18" s="2"/>
      <c r="G18" s="2"/>
    </row>
    <row r="19" spans="1:7" ht="12.75">
      <c r="A19" s="5" t="s">
        <v>18</v>
      </c>
      <c r="B19" s="25" t="s">
        <v>19</v>
      </c>
      <c r="C19" s="25"/>
      <c r="D19" s="27">
        <v>4</v>
      </c>
      <c r="E19" s="2"/>
      <c r="F19" s="2"/>
      <c r="G19" s="2"/>
    </row>
    <row r="20" spans="1:7" ht="12.75">
      <c r="A20" s="5" t="s">
        <v>20</v>
      </c>
      <c r="B20" s="25" t="s">
        <v>21</v>
      </c>
      <c r="C20" s="25"/>
      <c r="D20" s="27">
        <v>24</v>
      </c>
      <c r="E20" s="2"/>
      <c r="F20" s="2"/>
      <c r="G20" s="2"/>
    </row>
    <row r="21" spans="1:7" ht="12.75">
      <c r="A21" s="5"/>
      <c r="B21" s="5"/>
      <c r="C21" s="5"/>
      <c r="D21" s="5"/>
      <c r="E21" s="5"/>
      <c r="F21" s="5"/>
      <c r="G21" s="5"/>
    </row>
    <row r="22" spans="1:7" ht="12.75">
      <c r="A22" s="5"/>
      <c r="B22" s="5"/>
      <c r="C22" s="5"/>
      <c r="D22" s="5"/>
      <c r="E22" s="5"/>
      <c r="F22" s="5"/>
      <c r="G22" s="5"/>
    </row>
    <row r="23" spans="1:7" ht="12.75">
      <c r="A23" s="28" t="s">
        <v>22</v>
      </c>
      <c r="B23" s="29"/>
      <c r="C23" s="30">
        <v>10</v>
      </c>
      <c r="D23" s="30">
        <v>15</v>
      </c>
      <c r="E23" s="30">
        <v>20</v>
      </c>
      <c r="F23" s="30">
        <v>25</v>
      </c>
      <c r="G23" s="30">
        <v>30</v>
      </c>
    </row>
    <row r="24" spans="1:7" ht="12.75">
      <c r="A24" s="5"/>
      <c r="B24" s="5"/>
      <c r="C24" s="5"/>
      <c r="D24" s="5"/>
      <c r="E24" s="5"/>
      <c r="F24" s="5"/>
      <c r="G24" s="5"/>
    </row>
    <row r="25" spans="1:7" ht="12.75">
      <c r="A25" s="17" t="s">
        <v>10</v>
      </c>
      <c r="B25" s="18"/>
      <c r="C25" s="31">
        <f>$F$14</f>
        <v>1.2394965578147676</v>
      </c>
      <c r="D25" s="32">
        <f>C25+$F$15</f>
        <v>1.611345525159198</v>
      </c>
      <c r="E25" s="32">
        <f>D25+$F$15</f>
        <v>1.9831944925036282</v>
      </c>
      <c r="F25" s="32">
        <f>E25+$F$15</f>
        <v>2.3550434598480585</v>
      </c>
      <c r="G25" s="32">
        <f>F25+$F$15</f>
        <v>2.726892427192489</v>
      </c>
    </row>
    <row r="26" spans="1:7" ht="12.75">
      <c r="A26" s="17" t="s">
        <v>11</v>
      </c>
      <c r="B26" s="18"/>
      <c r="C26" s="31">
        <f>$G$14</f>
        <v>1.8592448367221515</v>
      </c>
      <c r="D26" s="32">
        <f>C26+$G$15</f>
        <v>2.417018287738797</v>
      </c>
      <c r="E26" s="32">
        <f>D26+$G$15</f>
        <v>2.9747917387554423</v>
      </c>
      <c r="F26" s="32">
        <f>E26+$G$15</f>
        <v>3.5325651897720878</v>
      </c>
      <c r="G26" s="32">
        <f>F26+$G$15</f>
        <v>4.090338640788733</v>
      </c>
    </row>
    <row r="27" spans="1:7" ht="12.75">
      <c r="A27" s="33" t="s">
        <v>23</v>
      </c>
      <c r="B27" s="34"/>
      <c r="C27" s="21">
        <f aca="true" t="shared" si="0" ref="C27:G28">C25*(1+$F$8)</f>
        <v>2.4789931156295353</v>
      </c>
      <c r="D27" s="24">
        <f t="shared" si="0"/>
        <v>3.222691050318396</v>
      </c>
      <c r="E27" s="24">
        <f t="shared" si="0"/>
        <v>3.9663889850072565</v>
      </c>
      <c r="F27" s="24">
        <f t="shared" si="0"/>
        <v>4.710086919696117</v>
      </c>
      <c r="G27" s="24">
        <f t="shared" si="0"/>
        <v>5.453784854384978</v>
      </c>
    </row>
    <row r="28" spans="1:7" ht="12.75">
      <c r="A28" s="33" t="s">
        <v>24</v>
      </c>
      <c r="B28" s="34"/>
      <c r="C28" s="21">
        <f t="shared" si="0"/>
        <v>3.718489673444303</v>
      </c>
      <c r="D28" s="24">
        <f t="shared" si="0"/>
        <v>4.834036575477594</v>
      </c>
      <c r="E28" s="24">
        <f t="shared" si="0"/>
        <v>5.949583477510885</v>
      </c>
      <c r="F28" s="24">
        <f t="shared" si="0"/>
        <v>7.0651303795441756</v>
      </c>
      <c r="G28" s="24">
        <f t="shared" si="0"/>
        <v>8.180677281577466</v>
      </c>
    </row>
    <row r="29" spans="1:7" ht="12.75">
      <c r="A29" s="5"/>
      <c r="B29" s="5"/>
      <c r="C29" s="5"/>
      <c r="D29" s="5"/>
      <c r="E29" s="5"/>
      <c r="F29" s="5"/>
      <c r="G29" s="5"/>
    </row>
    <row r="30" spans="1:7" ht="12.75">
      <c r="A30" s="35" t="s">
        <v>25</v>
      </c>
      <c r="B30" s="5"/>
      <c r="C30" s="5"/>
      <c r="D30" s="5"/>
      <c r="E30" s="5"/>
      <c r="F30" s="5"/>
      <c r="G30" s="5"/>
    </row>
    <row r="31" spans="1:7" ht="15.75">
      <c r="A31" s="5" t="s">
        <v>26</v>
      </c>
      <c r="B31" s="5"/>
      <c r="C31" s="5"/>
      <c r="D31" s="5"/>
      <c r="E31" s="5"/>
      <c r="F31" s="5"/>
      <c r="G31" s="5"/>
    </row>
    <row r="32" spans="1:7" ht="15.75">
      <c r="A32" s="5" t="s">
        <v>27</v>
      </c>
      <c r="B32" s="5"/>
      <c r="C32" s="5"/>
      <c r="D32" s="5"/>
      <c r="E32" s="5"/>
      <c r="F32" s="5"/>
      <c r="G32" s="5"/>
    </row>
    <row r="33" spans="1:7" ht="15.75">
      <c r="A33" s="5" t="s">
        <v>28</v>
      </c>
      <c r="B33" s="5"/>
      <c r="C33" s="5"/>
      <c r="D33" s="5"/>
      <c r="E33" s="5"/>
      <c r="F33" s="5"/>
      <c r="G33" s="5"/>
    </row>
    <row r="34" spans="1:7" ht="12.75">
      <c r="A34" s="5"/>
      <c r="B34" s="5"/>
      <c r="C34" s="5"/>
      <c r="D34" s="5"/>
      <c r="E34" s="5"/>
      <c r="F34" s="5"/>
      <c r="G34" s="5"/>
    </row>
    <row r="35" spans="1:7" ht="12.75">
      <c r="A35" s="5"/>
      <c r="B35" s="5"/>
      <c r="C35" s="5"/>
      <c r="D35" s="5"/>
      <c r="E35" s="5"/>
      <c r="F35" s="5"/>
      <c r="G35" s="5"/>
    </row>
    <row r="36" spans="1:7" ht="12.75">
      <c r="A36" s="5" t="s">
        <v>29</v>
      </c>
      <c r="B36" s="5"/>
      <c r="C36" s="2"/>
      <c r="D36" s="36">
        <v>25.82</v>
      </c>
      <c r="E36" s="2"/>
      <c r="F36" s="5"/>
      <c r="G36" s="5"/>
    </row>
    <row r="37" spans="1:7" ht="12.75">
      <c r="A37" s="5"/>
      <c r="B37" s="5"/>
      <c r="C37" s="2"/>
      <c r="D37" s="5"/>
      <c r="E37" s="2"/>
      <c r="F37" s="5"/>
      <c r="G37" s="5"/>
    </row>
    <row r="38" spans="1:7" ht="12.75">
      <c r="A38" s="5"/>
      <c r="B38" s="5"/>
      <c r="C38" s="2"/>
      <c r="D38" s="5"/>
      <c r="E38" s="2"/>
      <c r="F38" s="5"/>
      <c r="G38" s="5"/>
    </row>
    <row r="39" spans="1:7" ht="57" customHeight="1">
      <c r="A39" s="126" t="s">
        <v>30</v>
      </c>
      <c r="B39" s="126"/>
      <c r="C39" s="126"/>
      <c r="D39" s="126"/>
      <c r="E39" s="126"/>
      <c r="F39" s="126"/>
      <c r="G39" s="126"/>
    </row>
    <row r="40" spans="1:7" ht="12.75">
      <c r="A40" s="126"/>
      <c r="B40" s="126"/>
      <c r="C40" s="126"/>
      <c r="D40" s="126"/>
      <c r="E40" s="126"/>
      <c r="F40" s="126"/>
      <c r="G40" s="126"/>
    </row>
    <row r="41" spans="1:7" ht="12.75">
      <c r="A41" s="5"/>
      <c r="B41" s="5"/>
      <c r="C41" s="2"/>
      <c r="D41" s="5"/>
      <c r="E41" s="2"/>
      <c r="F41" s="5"/>
      <c r="G41" s="5"/>
    </row>
    <row r="42" spans="1:7" ht="12.75">
      <c r="A42" s="5"/>
      <c r="B42" s="5"/>
      <c r="C42" s="2"/>
      <c r="D42" s="5"/>
      <c r="E42" s="2"/>
      <c r="F42" s="5"/>
      <c r="G42" s="5"/>
    </row>
    <row r="43" spans="1:7" ht="12.75">
      <c r="A43" s="5"/>
      <c r="B43" s="5"/>
      <c r="C43" s="2"/>
      <c r="D43" s="5"/>
      <c r="E43" s="2"/>
      <c r="F43" s="5"/>
      <c r="G43" s="5"/>
    </row>
    <row r="44" spans="1:7" ht="12.75">
      <c r="A44" s="121" t="s">
        <v>31</v>
      </c>
      <c r="B44" s="121"/>
      <c r="C44" s="121"/>
      <c r="D44" s="121"/>
      <c r="E44" s="121"/>
      <c r="F44" s="121"/>
      <c r="G44" s="121"/>
    </row>
    <row r="45" spans="1:7" ht="12.75">
      <c r="A45" s="121" t="s">
        <v>1</v>
      </c>
      <c r="B45" s="121"/>
      <c r="C45" s="121"/>
      <c r="D45" s="121"/>
      <c r="E45" s="121"/>
      <c r="F45" s="121"/>
      <c r="G45" s="121"/>
    </row>
    <row r="46" spans="1:7" ht="12.75">
      <c r="A46" s="2"/>
      <c r="B46" s="3"/>
      <c r="C46" s="4" t="s">
        <v>2</v>
      </c>
      <c r="D46" s="5"/>
      <c r="E46" s="5"/>
      <c r="F46" s="5"/>
      <c r="G46" s="5"/>
    </row>
    <row r="47" spans="1:7" ht="12.75">
      <c r="A47" s="121" t="s">
        <v>3</v>
      </c>
      <c r="B47" s="121"/>
      <c r="C47" s="121"/>
      <c r="D47" s="121"/>
      <c r="E47" s="121"/>
      <c r="F47" s="121"/>
      <c r="G47" s="121"/>
    </row>
    <row r="48" spans="1:7" ht="12" customHeight="1">
      <c r="A48" s="122" t="s">
        <v>4</v>
      </c>
      <c r="B48" s="122"/>
      <c r="C48" s="122"/>
      <c r="D48" s="122"/>
      <c r="E48" s="122"/>
      <c r="F48" s="122"/>
      <c r="G48" s="122"/>
    </row>
    <row r="49" spans="1:7" ht="12.75">
      <c r="A49" s="3"/>
      <c r="B49" s="3"/>
      <c r="C49" s="5"/>
      <c r="D49" s="5"/>
      <c r="E49" s="5"/>
      <c r="F49" s="5"/>
      <c r="G49" s="5"/>
    </row>
    <row r="50" spans="1:7" ht="12.75">
      <c r="A50" s="37" t="str">
        <f>A8</f>
        <v>Comune  Cento</v>
      </c>
      <c r="B50" s="37" t="str">
        <f>B8</f>
        <v>III</v>
      </c>
      <c r="D50" s="2"/>
      <c r="E50" s="7" t="s">
        <v>7</v>
      </c>
      <c r="F50" s="38">
        <f>F8</f>
        <v>1</v>
      </c>
      <c r="G50" s="39"/>
    </row>
    <row r="51" spans="1:7" ht="12.75">
      <c r="A51" s="13" t="s">
        <v>8</v>
      </c>
      <c r="B51" s="5"/>
      <c r="C51" s="40">
        <f>C9</f>
        <v>0.5</v>
      </c>
      <c r="D51" s="41" t="s">
        <v>32</v>
      </c>
      <c r="E51" s="5"/>
      <c r="F51" s="5"/>
      <c r="G51" s="5"/>
    </row>
    <row r="52" spans="1:7" ht="12.75">
      <c r="A52" s="13" t="s">
        <v>33</v>
      </c>
      <c r="B52" s="5"/>
      <c r="C52" s="40">
        <v>1</v>
      </c>
      <c r="D52" s="41"/>
      <c r="E52" s="5"/>
      <c r="F52" s="5"/>
      <c r="G52" s="5"/>
    </row>
    <row r="53" spans="1:7" ht="12.75">
      <c r="A53" s="42"/>
      <c r="B53" s="43"/>
      <c r="C53" s="44"/>
      <c r="D53" s="41"/>
      <c r="E53" s="5"/>
      <c r="F53" s="5"/>
      <c r="G53" s="5"/>
    </row>
    <row r="54" spans="1:7" ht="15.75">
      <c r="A54" s="5" t="s">
        <v>34</v>
      </c>
      <c r="B54" s="5"/>
      <c r="C54" s="5"/>
      <c r="D54" s="5"/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8" ht="22.5">
      <c r="A56" s="45" t="s">
        <v>35</v>
      </c>
      <c r="B56" s="45"/>
      <c r="C56" s="46" t="s">
        <v>36</v>
      </c>
      <c r="D56" s="46" t="s">
        <v>37</v>
      </c>
      <c r="E56" s="46" t="s">
        <v>38</v>
      </c>
      <c r="F56" s="47" t="s">
        <v>39</v>
      </c>
      <c r="G56" s="46" t="s">
        <v>40</v>
      </c>
      <c r="H56" s="48"/>
    </row>
    <row r="57" spans="1:8" ht="26.25" customHeight="1">
      <c r="A57" s="49" t="s">
        <v>41</v>
      </c>
      <c r="B57" s="50"/>
      <c r="C57" s="51">
        <f aca="true" t="shared" si="1" ref="C57:C64">F57/10</f>
        <v>1.5493706972684596</v>
      </c>
      <c r="D57" s="51">
        <f aca="true" t="shared" si="2" ref="D57:D64">C57*2</f>
        <v>3.098741394536919</v>
      </c>
      <c r="E57" s="51">
        <f aca="true" t="shared" si="3" ref="E57:E64">C57*3</f>
        <v>4.648112091805379</v>
      </c>
      <c r="F57" s="52">
        <f>VLOOKUP($B$50,LEGGE!$A$9:$B$13,2,0)</f>
        <v>15.493706972684596</v>
      </c>
      <c r="G57" s="53"/>
      <c r="H57" s="53"/>
    </row>
    <row r="58" spans="1:8" ht="25.5">
      <c r="A58" s="54" t="s">
        <v>42</v>
      </c>
      <c r="B58" s="55"/>
      <c r="C58" s="56">
        <f t="shared" si="1"/>
        <v>2.3240560459026893</v>
      </c>
      <c r="D58" s="56">
        <f t="shared" si="2"/>
        <v>4.648112091805379</v>
      </c>
      <c r="E58" s="56">
        <f t="shared" si="3"/>
        <v>6.972168137708068</v>
      </c>
      <c r="F58" s="57">
        <f>F57*(1+$C$51)</f>
        <v>23.240560459026895</v>
      </c>
      <c r="G58" s="58"/>
      <c r="H58" s="58"/>
    </row>
    <row r="59" spans="1:8" ht="23.25" customHeight="1">
      <c r="A59" s="49" t="s">
        <v>43</v>
      </c>
      <c r="B59" s="50"/>
      <c r="C59" s="51">
        <f t="shared" si="1"/>
        <v>3.4860840688540344</v>
      </c>
      <c r="D59" s="51">
        <f t="shared" si="2"/>
        <v>6.972168137708069</v>
      </c>
      <c r="E59" s="51">
        <f t="shared" si="3"/>
        <v>10.458252206562104</v>
      </c>
      <c r="F59" s="52">
        <f>F58*(1+$G$59)</f>
        <v>34.86084068854034</v>
      </c>
      <c r="G59" s="53">
        <v>0.5</v>
      </c>
      <c r="H59" s="53"/>
    </row>
    <row r="60" spans="1:8" ht="25.5" customHeight="1" thickBot="1">
      <c r="A60" s="59" t="s">
        <v>44</v>
      </c>
      <c r="B60" s="60"/>
      <c r="C60" s="61">
        <f t="shared" si="1"/>
        <v>4.648112091805379</v>
      </c>
      <c r="D60" s="61">
        <f t="shared" si="2"/>
        <v>9.296224183610757</v>
      </c>
      <c r="E60" s="61">
        <f t="shared" si="3"/>
        <v>13.944336275416136</v>
      </c>
      <c r="F60" s="62">
        <f>F58*(1+$G60)</f>
        <v>46.48112091805379</v>
      </c>
      <c r="G60" s="63">
        <v>1</v>
      </c>
      <c r="H60" s="63"/>
    </row>
    <row r="61" spans="1:8" ht="23.25" customHeight="1" thickTop="1">
      <c r="A61" s="64" t="s">
        <v>45</v>
      </c>
      <c r="B61" s="65"/>
      <c r="C61" s="66">
        <f t="shared" si="1"/>
        <v>3.098741394536919</v>
      </c>
      <c r="D61" s="66">
        <f t="shared" si="2"/>
        <v>6.197482789073838</v>
      </c>
      <c r="E61" s="66">
        <f t="shared" si="3"/>
        <v>9.296224183610757</v>
      </c>
      <c r="F61" s="67">
        <f>F57*(1+$C$52)</f>
        <v>30.98741394536919</v>
      </c>
      <c r="G61" s="68"/>
      <c r="H61" s="68"/>
    </row>
    <row r="62" spans="1:8" ht="25.5">
      <c r="A62" s="69" t="s">
        <v>46</v>
      </c>
      <c r="B62" s="70"/>
      <c r="C62" s="71">
        <f t="shared" si="1"/>
        <v>4.648112091805379</v>
      </c>
      <c r="D62" s="71">
        <f t="shared" si="2"/>
        <v>9.296224183610757</v>
      </c>
      <c r="E62" s="71">
        <f t="shared" si="3"/>
        <v>13.944336275416136</v>
      </c>
      <c r="F62" s="72">
        <f>F58*(1+$C$52)</f>
        <v>46.48112091805379</v>
      </c>
      <c r="G62" s="73"/>
      <c r="H62" s="73"/>
    </row>
    <row r="63" spans="1:8" ht="22.5" customHeight="1">
      <c r="A63" s="69" t="s">
        <v>47</v>
      </c>
      <c r="B63" s="70"/>
      <c r="C63" s="71">
        <f t="shared" si="1"/>
        <v>5.810140114756724</v>
      </c>
      <c r="D63" s="71">
        <f t="shared" si="2"/>
        <v>11.620280229513448</v>
      </c>
      <c r="E63" s="71">
        <f t="shared" si="3"/>
        <v>17.43042034427017</v>
      </c>
      <c r="F63" s="72">
        <f>F62+F58/2</f>
        <v>58.10140114756724</v>
      </c>
      <c r="G63" s="73"/>
      <c r="H63" s="73"/>
    </row>
    <row r="64" spans="1:8" ht="24.75" customHeight="1">
      <c r="A64" s="69" t="s">
        <v>48</v>
      </c>
      <c r="B64" s="70"/>
      <c r="C64" s="71">
        <f t="shared" si="1"/>
        <v>6.972168137708069</v>
      </c>
      <c r="D64" s="71">
        <f t="shared" si="2"/>
        <v>13.944336275416138</v>
      </c>
      <c r="E64" s="71">
        <f t="shared" si="3"/>
        <v>20.91650441312421</v>
      </c>
      <c r="F64" s="72">
        <f>F62+F58</f>
        <v>69.72168137708069</v>
      </c>
      <c r="G64" s="73"/>
      <c r="H64" s="73"/>
    </row>
    <row r="65" spans="1:8" ht="24.75" customHeight="1">
      <c r="A65" s="123" t="s">
        <v>49</v>
      </c>
      <c r="B65" s="123"/>
      <c r="C65" s="123"/>
      <c r="D65" s="123"/>
      <c r="E65" s="123"/>
      <c r="F65" s="123"/>
      <c r="G65" s="123"/>
      <c r="H65" s="123"/>
    </row>
    <row r="66" spans="1:8" ht="26.25" customHeight="1">
      <c r="A66" s="49" t="s">
        <v>41</v>
      </c>
      <c r="B66" s="50"/>
      <c r="C66" s="51">
        <f aca="true" t="shared" si="4" ref="C66:C73">F66/10</f>
        <v>3.098741394536919</v>
      </c>
      <c r="D66" s="51">
        <f aca="true" t="shared" si="5" ref="D66:D73">C66*2</f>
        <v>6.197482789073838</v>
      </c>
      <c r="E66" s="51">
        <f aca="true" t="shared" si="6" ref="E66:E73">C66*3</f>
        <v>9.296224183610757</v>
      </c>
      <c r="F66" s="52">
        <f>$F$57*(1+F50)</f>
        <v>30.98741394536919</v>
      </c>
      <c r="G66" s="53"/>
      <c r="H66" s="53"/>
    </row>
    <row r="67" spans="1:8" ht="25.5">
      <c r="A67" s="54" t="s">
        <v>42</v>
      </c>
      <c r="B67" s="55"/>
      <c r="C67" s="56">
        <f t="shared" si="4"/>
        <v>4.648112091805379</v>
      </c>
      <c r="D67" s="56">
        <f t="shared" si="5"/>
        <v>9.296224183610757</v>
      </c>
      <c r="E67" s="56">
        <f t="shared" si="6"/>
        <v>13.944336275416136</v>
      </c>
      <c r="F67" s="57">
        <f>F66*(1+$C$51)</f>
        <v>46.48112091805379</v>
      </c>
      <c r="G67" s="58"/>
      <c r="H67" s="58"/>
    </row>
    <row r="68" spans="1:8" ht="23.25" customHeight="1">
      <c r="A68" s="49" t="s">
        <v>43</v>
      </c>
      <c r="B68" s="50"/>
      <c r="C68" s="51">
        <f t="shared" si="4"/>
        <v>5.810140114756724</v>
      </c>
      <c r="D68" s="51">
        <f t="shared" si="5"/>
        <v>11.620280229513448</v>
      </c>
      <c r="E68" s="51">
        <f t="shared" si="6"/>
        <v>17.43042034427017</v>
      </c>
      <c r="F68" s="52">
        <f>F58+(F58/2)+(F58*F50)</f>
        <v>58.10140114756724</v>
      </c>
      <c r="G68" s="53">
        <v>0.5</v>
      </c>
      <c r="H68" s="53"/>
    </row>
    <row r="69" spans="1:8" ht="25.5" customHeight="1" thickBot="1">
      <c r="A69" s="59" t="s">
        <v>44</v>
      </c>
      <c r="B69" s="60"/>
      <c r="C69" s="61">
        <f t="shared" si="4"/>
        <v>6.972168137708069</v>
      </c>
      <c r="D69" s="61">
        <f t="shared" si="5"/>
        <v>13.944336275416138</v>
      </c>
      <c r="E69" s="61">
        <f t="shared" si="6"/>
        <v>20.91650441312421</v>
      </c>
      <c r="F69" s="62">
        <f>F58+F58+(F58*F50)</f>
        <v>69.72168137708069</v>
      </c>
      <c r="G69" s="63">
        <v>1</v>
      </c>
      <c r="H69" s="63"/>
    </row>
    <row r="70" spans="1:8" ht="23.25" customHeight="1" thickTop="1">
      <c r="A70" s="64" t="s">
        <v>45</v>
      </c>
      <c r="B70" s="65"/>
      <c r="C70" s="66">
        <f t="shared" si="4"/>
        <v>4.648112091805379</v>
      </c>
      <c r="D70" s="66">
        <f t="shared" si="5"/>
        <v>9.296224183610757</v>
      </c>
      <c r="E70" s="66">
        <f t="shared" si="6"/>
        <v>13.944336275416136</v>
      </c>
      <c r="F70" s="67">
        <f>F57+F57+(F57*F50)</f>
        <v>46.48112091805379</v>
      </c>
      <c r="G70" s="68"/>
      <c r="H70" s="68"/>
    </row>
    <row r="71" spans="1:9" ht="25.5">
      <c r="A71" s="69" t="s">
        <v>46</v>
      </c>
      <c r="B71" s="70"/>
      <c r="C71" s="71">
        <f t="shared" si="4"/>
        <v>6.972168137708069</v>
      </c>
      <c r="D71" s="71">
        <f t="shared" si="5"/>
        <v>13.944336275416138</v>
      </c>
      <c r="E71" s="71">
        <f t="shared" si="6"/>
        <v>20.91650441312421</v>
      </c>
      <c r="F71" s="72">
        <f>F58+F58+(F58*F50)</f>
        <v>69.72168137708069</v>
      </c>
      <c r="G71" s="73"/>
      <c r="H71" s="73"/>
      <c r="I71" s="1" t="s">
        <v>50</v>
      </c>
    </row>
    <row r="72" spans="1:8" ht="22.5" customHeight="1">
      <c r="A72" s="69" t="s">
        <v>47</v>
      </c>
      <c r="B72" s="70"/>
      <c r="C72" s="71">
        <f t="shared" si="4"/>
        <v>8.134196160659414</v>
      </c>
      <c r="D72" s="71">
        <f t="shared" si="5"/>
        <v>16.268392321318828</v>
      </c>
      <c r="E72" s="71">
        <f t="shared" si="6"/>
        <v>24.402588481978242</v>
      </c>
      <c r="F72" s="72">
        <f>F58+F58+(F58*F50)+(F58*0.5)</f>
        <v>81.34196160659414</v>
      </c>
      <c r="G72" s="73"/>
      <c r="H72" s="73"/>
    </row>
    <row r="73" spans="1:8" ht="24.75" customHeight="1">
      <c r="A73" s="69" t="s">
        <v>48</v>
      </c>
      <c r="B73" s="70"/>
      <c r="C73" s="71">
        <f t="shared" si="4"/>
        <v>9.296224183610757</v>
      </c>
      <c r="D73" s="71">
        <f t="shared" si="5"/>
        <v>18.592448367221515</v>
      </c>
      <c r="E73" s="71">
        <f t="shared" si="6"/>
        <v>27.888672550832272</v>
      </c>
      <c r="F73" s="72">
        <f>F58+F58+(F58*F50)+F58</f>
        <v>92.96224183610758</v>
      </c>
      <c r="G73" s="73"/>
      <c r="H73" s="73"/>
    </row>
    <row r="74" spans="1:7" ht="12.75">
      <c r="A74" s="5" t="s">
        <v>50</v>
      </c>
      <c r="B74" s="5"/>
      <c r="C74" s="5"/>
      <c r="D74" s="5"/>
      <c r="E74" s="5"/>
      <c r="F74" s="5"/>
      <c r="G74" s="5"/>
    </row>
    <row r="75" spans="1:7" ht="12.75">
      <c r="A75" s="5" t="s">
        <v>51</v>
      </c>
      <c r="B75" s="74"/>
      <c r="C75" s="74"/>
      <c r="D75" s="74"/>
      <c r="E75" s="74"/>
      <c r="F75" s="74"/>
      <c r="G75" s="74"/>
    </row>
    <row r="76" spans="1:7" ht="12.75">
      <c r="A76" s="74" t="s">
        <v>52</v>
      </c>
      <c r="B76" s="74"/>
      <c r="C76" s="74"/>
      <c r="D76" s="74"/>
      <c r="E76" s="74"/>
      <c r="F76" s="74"/>
      <c r="G76" s="74"/>
    </row>
    <row r="77" spans="1:7" ht="12.75">
      <c r="A77" s="5" t="s">
        <v>53</v>
      </c>
      <c r="B77" s="74"/>
      <c r="C77" s="74"/>
      <c r="D77" s="74"/>
      <c r="E77" s="74"/>
      <c r="F77" s="74"/>
      <c r="G77" s="74"/>
    </row>
    <row r="78" spans="1:7" ht="12.75">
      <c r="A78" s="6" t="s">
        <v>54</v>
      </c>
      <c r="B78" s="75"/>
      <c r="C78" s="74"/>
      <c r="D78" s="74"/>
      <c r="E78" s="74"/>
      <c r="F78" s="74"/>
      <c r="G78" s="74"/>
    </row>
    <row r="79" spans="1:7" ht="12.75">
      <c r="A79" s="5"/>
      <c r="B79" s="5"/>
      <c r="C79" s="5"/>
      <c r="D79" s="5"/>
      <c r="E79" s="5"/>
      <c r="F79" s="5"/>
      <c r="G79" s="5"/>
    </row>
    <row r="80" spans="1:7" ht="36.75" customHeight="1">
      <c r="A80" s="124" t="s">
        <v>55</v>
      </c>
      <c r="B80" s="124"/>
      <c r="C80" s="124"/>
      <c r="D80" s="124"/>
      <c r="E80" s="124"/>
      <c r="F80" s="124"/>
      <c r="G80" s="124"/>
    </row>
    <row r="81" spans="1:7" ht="12.75">
      <c r="A81" s="5"/>
      <c r="B81" s="5"/>
      <c r="C81" s="5"/>
      <c r="D81" s="5"/>
      <c r="E81" s="5"/>
      <c r="F81" s="5"/>
      <c r="G81" s="5"/>
    </row>
    <row r="82" spans="1:12" ht="15.75">
      <c r="A82" s="17" t="s">
        <v>56</v>
      </c>
      <c r="B82" s="18"/>
      <c r="C82" s="18"/>
      <c r="D82" s="18"/>
      <c r="E82" s="76"/>
      <c r="F82" s="77">
        <f>VLOOKUP(A82,LEGGE!$A$16:$B$20,2,0)</f>
        <v>74.36979346888606</v>
      </c>
      <c r="G82" s="76"/>
      <c r="H82" s="1" t="s">
        <v>50</v>
      </c>
      <c r="K82" s="78"/>
      <c r="L82" s="78"/>
    </row>
    <row r="83" spans="1:7" ht="15.75">
      <c r="A83" s="17" t="s">
        <v>57</v>
      </c>
      <c r="B83" s="18"/>
      <c r="C83" s="18"/>
      <c r="D83" s="18"/>
      <c r="E83" s="76"/>
      <c r="F83" s="77">
        <f>VLOOKUP(A83,LEGGE!$A$16:$B$20,2,0)</f>
        <v>74.36979346888606</v>
      </c>
      <c r="G83" s="50"/>
    </row>
    <row r="84" spans="1:7" ht="15.75">
      <c r="A84" s="17" t="s">
        <v>58</v>
      </c>
      <c r="B84" s="18"/>
      <c r="C84" s="18"/>
      <c r="D84" s="18"/>
      <c r="E84" s="76"/>
      <c r="F84" s="77">
        <f>VLOOKUP(A84,LEGGE!$A$16:$B$20,2,0)</f>
        <v>49.579862312590706</v>
      </c>
      <c r="G84" s="50"/>
    </row>
    <row r="85" spans="1:7" ht="15.75">
      <c r="A85" s="79" t="s">
        <v>59</v>
      </c>
      <c r="B85" s="80"/>
      <c r="C85" s="80"/>
      <c r="D85" s="80"/>
      <c r="E85" s="81"/>
      <c r="F85" s="77">
        <f>VLOOKUP(A85,LEGGE!$A$16:$B$20,2,0)</f>
        <v>49.579862312590706</v>
      </c>
      <c r="G85" s="45"/>
    </row>
    <row r="86" spans="1:7" ht="40.5" customHeight="1">
      <c r="A86" s="118" t="s">
        <v>60</v>
      </c>
      <c r="B86" s="118"/>
      <c r="C86" s="118"/>
      <c r="D86" s="118"/>
      <c r="E86" s="76"/>
      <c r="F86" s="77">
        <f>VLOOKUP(A86,LEGGE!$A$16:$B$20,2,0)</f>
        <v>24.789931156295353</v>
      </c>
      <c r="G86" s="50"/>
    </row>
    <row r="87" spans="1:7" ht="7.5" customHeight="1">
      <c r="A87" s="82"/>
      <c r="B87" s="82"/>
      <c r="C87" s="82"/>
      <c r="D87" s="82"/>
      <c r="E87" s="2"/>
      <c r="F87" s="83"/>
      <c r="G87" s="5"/>
    </row>
    <row r="88" spans="1:7" ht="3" customHeight="1">
      <c r="A88" s="82"/>
      <c r="B88" s="82"/>
      <c r="C88" s="82"/>
      <c r="D88" s="82"/>
      <c r="E88" s="2"/>
      <c r="F88" s="83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5.75">
      <c r="A90" s="5" t="s">
        <v>61</v>
      </c>
      <c r="B90" s="5"/>
      <c r="C90" s="5"/>
      <c r="D90" s="5"/>
      <c r="E90" s="5"/>
      <c r="F90" s="5"/>
      <c r="G90" s="5"/>
    </row>
    <row r="91" spans="1:7" ht="12.75">
      <c r="A91" s="5" t="s">
        <v>62</v>
      </c>
      <c r="B91" s="5"/>
      <c r="C91" s="5"/>
      <c r="D91" s="5"/>
      <c r="E91" s="5"/>
      <c r="F91" s="5"/>
      <c r="G91" s="5"/>
    </row>
    <row r="92" spans="1:7" ht="12.75">
      <c r="A92" s="5"/>
      <c r="B92" s="5"/>
      <c r="C92" s="5"/>
      <c r="D92" s="5"/>
      <c r="E92" s="5"/>
      <c r="F92" s="5"/>
      <c r="G92" s="5"/>
    </row>
    <row r="93" spans="1:8" ht="22.5">
      <c r="A93" s="84"/>
      <c r="B93" s="85"/>
      <c r="C93" s="20" t="s">
        <v>36</v>
      </c>
      <c r="D93" s="20" t="s">
        <v>37</v>
      </c>
      <c r="E93" s="20" t="s">
        <v>38</v>
      </c>
      <c r="F93" s="86" t="s">
        <v>39</v>
      </c>
      <c r="G93" s="87" t="s">
        <v>40</v>
      </c>
      <c r="H93" s="87"/>
    </row>
    <row r="94" spans="1:8" ht="12.75">
      <c r="A94" s="88" t="s">
        <v>63</v>
      </c>
      <c r="B94" s="28"/>
      <c r="C94" s="89">
        <f aca="true" t="shared" si="7" ref="C94:C101">F94/10</f>
        <v>4.957986231259071</v>
      </c>
      <c r="D94" s="89">
        <f aca="true" t="shared" si="8" ref="D94:D101">C94*2</f>
        <v>9.915972462518141</v>
      </c>
      <c r="E94" s="89">
        <f aca="true" t="shared" si="9" ref="E94:E101">C94*3</f>
        <v>14.873958693777212</v>
      </c>
      <c r="F94" s="90">
        <f>VLOOKUP($B$50,LEGGE!$A$23:$B$27,2,0)</f>
        <v>49.579862312590706</v>
      </c>
      <c r="G94" s="91"/>
      <c r="H94" s="92"/>
    </row>
    <row r="95" spans="1:8" ht="25.5">
      <c r="A95" s="49" t="s">
        <v>42</v>
      </c>
      <c r="B95" s="55"/>
      <c r="C95" s="56">
        <f t="shared" si="7"/>
        <v>7.436979346888606</v>
      </c>
      <c r="D95" s="56">
        <f t="shared" si="8"/>
        <v>14.873958693777212</v>
      </c>
      <c r="E95" s="56">
        <f t="shared" si="9"/>
        <v>22.310938040665818</v>
      </c>
      <c r="F95" s="57">
        <f>F94*(1+$C$51)</f>
        <v>74.36979346888606</v>
      </c>
      <c r="G95" s="58"/>
      <c r="H95" s="58"/>
    </row>
    <row r="96" spans="1:8" ht="25.5">
      <c r="A96" s="49" t="s">
        <v>43</v>
      </c>
      <c r="B96" s="50"/>
      <c r="C96" s="51">
        <f t="shared" si="7"/>
        <v>11.155469020332909</v>
      </c>
      <c r="D96" s="51">
        <f t="shared" si="8"/>
        <v>22.310938040665818</v>
      </c>
      <c r="E96" s="51">
        <f t="shared" si="9"/>
        <v>33.466407060998726</v>
      </c>
      <c r="F96" s="52">
        <f>F95*(1+$G96)</f>
        <v>111.55469020332909</v>
      </c>
      <c r="G96" s="53">
        <v>0.5</v>
      </c>
      <c r="H96" s="53"/>
    </row>
    <row r="97" spans="1:8" ht="25.5">
      <c r="A97" s="49" t="s">
        <v>44</v>
      </c>
      <c r="B97" s="50"/>
      <c r="C97" s="51">
        <f t="shared" si="7"/>
        <v>14.873958693777212</v>
      </c>
      <c r="D97" s="51">
        <f t="shared" si="8"/>
        <v>29.747917387554423</v>
      </c>
      <c r="E97" s="51">
        <f t="shared" si="9"/>
        <v>44.621876081331635</v>
      </c>
      <c r="F97" s="52">
        <f>F95*(1+$G97)</f>
        <v>148.73958693777212</v>
      </c>
      <c r="G97" s="53">
        <v>1</v>
      </c>
      <c r="H97" s="53"/>
    </row>
    <row r="98" spans="1:8" ht="12.75">
      <c r="A98" s="54" t="s">
        <v>64</v>
      </c>
      <c r="B98" s="50"/>
      <c r="C98" s="51">
        <f t="shared" si="7"/>
        <v>9.915972462518141</v>
      </c>
      <c r="D98" s="51">
        <f t="shared" si="8"/>
        <v>19.831944925036282</v>
      </c>
      <c r="E98" s="51">
        <f t="shared" si="9"/>
        <v>29.747917387554423</v>
      </c>
      <c r="F98" s="52">
        <f>F94*(1+F50)</f>
        <v>99.15972462518141</v>
      </c>
      <c r="G98" s="53"/>
      <c r="H98" s="53"/>
    </row>
    <row r="99" spans="1:8" ht="25.5">
      <c r="A99" s="54" t="s">
        <v>65</v>
      </c>
      <c r="B99" s="50"/>
      <c r="C99" s="51">
        <f t="shared" si="7"/>
        <v>14.873958693777212</v>
      </c>
      <c r="D99" s="51">
        <f t="shared" si="8"/>
        <v>29.747917387554423</v>
      </c>
      <c r="E99" s="51">
        <f t="shared" si="9"/>
        <v>44.621876081331635</v>
      </c>
      <c r="F99" s="52">
        <f>F95+(F95*F50)</f>
        <v>148.73958693777212</v>
      </c>
      <c r="G99" s="53"/>
      <c r="H99" s="53"/>
    </row>
    <row r="100" spans="1:8" ht="25.5">
      <c r="A100" s="54" t="s">
        <v>66</v>
      </c>
      <c r="B100" s="50"/>
      <c r="C100" s="51">
        <f t="shared" si="7"/>
        <v>18.592448367221515</v>
      </c>
      <c r="D100" s="51">
        <f t="shared" si="8"/>
        <v>37.18489673444303</v>
      </c>
      <c r="E100" s="51">
        <f t="shared" si="9"/>
        <v>55.777345101664544</v>
      </c>
      <c r="F100" s="52">
        <f>F99+(F95/2)</f>
        <v>185.92448367221516</v>
      </c>
      <c r="G100" s="53">
        <v>0.5</v>
      </c>
      <c r="H100" s="53"/>
    </row>
    <row r="101" spans="1:8" ht="26.25" thickBot="1">
      <c r="A101" s="93" t="s">
        <v>67</v>
      </c>
      <c r="B101" s="60"/>
      <c r="C101" s="61">
        <f t="shared" si="7"/>
        <v>22.310938040665818</v>
      </c>
      <c r="D101" s="61">
        <f t="shared" si="8"/>
        <v>44.621876081331635</v>
      </c>
      <c r="E101" s="61">
        <f t="shared" si="9"/>
        <v>66.93281412199745</v>
      </c>
      <c r="F101" s="62">
        <f>F99+F95</f>
        <v>223.10938040665818</v>
      </c>
      <c r="G101" s="63">
        <v>1</v>
      </c>
      <c r="H101" s="63"/>
    </row>
    <row r="102" spans="1:7" ht="13.5" thickTop="1">
      <c r="A102" s="5"/>
      <c r="B102" s="5"/>
      <c r="C102" s="5"/>
      <c r="D102" s="5"/>
      <c r="E102" s="5"/>
      <c r="F102" s="5"/>
      <c r="G102" s="5"/>
    </row>
    <row r="103" spans="1:7" ht="15.75">
      <c r="A103" s="5" t="s">
        <v>68</v>
      </c>
      <c r="B103" s="5"/>
      <c r="C103" s="5"/>
      <c r="D103" s="5"/>
      <c r="E103" s="5"/>
      <c r="F103" s="5"/>
      <c r="G103" s="5"/>
    </row>
    <row r="104" spans="1:7" ht="12.75">
      <c r="A104" s="5" t="s">
        <v>69</v>
      </c>
      <c r="B104" s="5"/>
      <c r="C104" s="5"/>
      <c r="D104" s="5"/>
      <c r="E104" s="5"/>
      <c r="F104" s="5"/>
      <c r="G104" s="5"/>
    </row>
    <row r="105" spans="1:7" ht="12.75">
      <c r="A105" s="5" t="s">
        <v>70</v>
      </c>
      <c r="B105" s="5"/>
      <c r="C105" s="5"/>
      <c r="D105" s="5"/>
      <c r="E105" s="5"/>
      <c r="F105" s="5"/>
      <c r="G105" s="5"/>
    </row>
    <row r="106" spans="1:7" ht="15.75">
      <c r="A106" s="17" t="s">
        <v>71</v>
      </c>
      <c r="B106" s="18"/>
      <c r="C106" s="18"/>
      <c r="D106" s="18"/>
      <c r="E106" s="18"/>
      <c r="F106" s="94">
        <f>VLOOKUP($B$50,LEGGE!$A$30:$B$34,2,0)</f>
        <v>3.098741394536919</v>
      </c>
      <c r="G106" s="95"/>
    </row>
    <row r="107" spans="1:7" ht="12.75">
      <c r="A107" s="33" t="s">
        <v>50</v>
      </c>
      <c r="B107" s="34"/>
      <c r="C107" s="34"/>
      <c r="D107" s="34"/>
      <c r="E107" s="34"/>
      <c r="F107" s="96" t="s">
        <v>50</v>
      </c>
      <c r="G107" s="95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60.75" customHeight="1">
      <c r="A109" s="119" t="s">
        <v>72</v>
      </c>
      <c r="B109" s="119"/>
      <c r="C109" s="119"/>
      <c r="D109" s="119"/>
      <c r="E109" s="119"/>
      <c r="F109" s="119"/>
      <c r="G109" s="119"/>
    </row>
    <row r="110" spans="1:7" ht="12.75">
      <c r="A110" s="3"/>
      <c r="B110" s="3"/>
      <c r="C110" s="5"/>
      <c r="D110" s="5"/>
      <c r="E110" s="5"/>
      <c r="F110" s="5"/>
      <c r="G110" s="5"/>
    </row>
    <row r="111" spans="1:8" s="100" customFormat="1" ht="12.75">
      <c r="A111" s="97"/>
      <c r="B111" s="98"/>
      <c r="C111" s="86" t="s">
        <v>73</v>
      </c>
      <c r="D111" s="86" t="s">
        <v>74</v>
      </c>
      <c r="E111" s="86" t="s">
        <v>75</v>
      </c>
      <c r="F111" s="86" t="s">
        <v>76</v>
      </c>
      <c r="G111" s="87" t="s">
        <v>40</v>
      </c>
      <c r="H111" s="99"/>
    </row>
    <row r="112" spans="1:8" ht="12.75">
      <c r="A112" s="88" t="s">
        <v>77</v>
      </c>
      <c r="B112" s="28"/>
      <c r="C112" s="90">
        <f>F57</f>
        <v>15.493706972684596</v>
      </c>
      <c r="D112" s="89">
        <f aca="true" t="shared" si="10" ref="D112:D119">C112*2</f>
        <v>30.98741394536919</v>
      </c>
      <c r="E112" s="89">
        <f aca="true" t="shared" si="11" ref="E112:E119">C112*3</f>
        <v>46.48112091805379</v>
      </c>
      <c r="F112" s="89">
        <f aca="true" t="shared" si="12" ref="F112:F119">C112*4</f>
        <v>61.97482789073838</v>
      </c>
      <c r="G112" s="91"/>
      <c r="H112" s="92"/>
    </row>
    <row r="113" spans="1:8" ht="25.5">
      <c r="A113" s="49" t="s">
        <v>42</v>
      </c>
      <c r="B113" s="55"/>
      <c r="C113" s="57">
        <f>F58</f>
        <v>23.240560459026895</v>
      </c>
      <c r="D113" s="51">
        <f t="shared" si="10"/>
        <v>46.48112091805379</v>
      </c>
      <c r="E113" s="51">
        <f t="shared" si="11"/>
        <v>69.72168137708069</v>
      </c>
      <c r="F113" s="51">
        <f t="shared" si="12"/>
        <v>92.96224183610758</v>
      </c>
      <c r="G113" s="58"/>
      <c r="H113" s="58"/>
    </row>
    <row r="114" spans="1:8" ht="25.5">
      <c r="A114" s="49" t="s">
        <v>43</v>
      </c>
      <c r="B114" s="50"/>
      <c r="C114" s="52">
        <f>F59</f>
        <v>34.86084068854034</v>
      </c>
      <c r="D114" s="51">
        <f t="shared" si="10"/>
        <v>69.72168137708069</v>
      </c>
      <c r="E114" s="51">
        <f t="shared" si="11"/>
        <v>104.58252206562102</v>
      </c>
      <c r="F114" s="51">
        <f t="shared" si="12"/>
        <v>139.44336275416137</v>
      </c>
      <c r="G114" s="53">
        <v>0.5</v>
      </c>
      <c r="H114" s="53"/>
    </row>
    <row r="115" spans="1:8" ht="25.5">
      <c r="A115" s="49" t="s">
        <v>44</v>
      </c>
      <c r="B115" s="50"/>
      <c r="C115" s="52">
        <f>F60</f>
        <v>46.48112091805379</v>
      </c>
      <c r="D115" s="89">
        <f t="shared" si="10"/>
        <v>92.96224183610758</v>
      </c>
      <c r="E115" s="89">
        <f t="shared" si="11"/>
        <v>139.44336275416137</v>
      </c>
      <c r="F115" s="89">
        <f t="shared" si="12"/>
        <v>185.92448367221516</v>
      </c>
      <c r="G115" s="53">
        <v>1</v>
      </c>
      <c r="H115" s="53"/>
    </row>
    <row r="116" spans="1:8" ht="12.75">
      <c r="A116" s="54" t="s">
        <v>64</v>
      </c>
      <c r="B116" s="50"/>
      <c r="C116" s="52">
        <f>F66</f>
        <v>30.98741394536919</v>
      </c>
      <c r="D116" s="51">
        <f t="shared" si="10"/>
        <v>61.97482789073838</v>
      </c>
      <c r="E116" s="51">
        <f t="shared" si="11"/>
        <v>92.96224183610758</v>
      </c>
      <c r="F116" s="51">
        <f t="shared" si="12"/>
        <v>123.94965578147676</v>
      </c>
      <c r="G116" s="53"/>
      <c r="H116" s="53"/>
    </row>
    <row r="117" spans="1:8" ht="25.5">
      <c r="A117" s="54" t="s">
        <v>65</v>
      </c>
      <c r="B117" s="50"/>
      <c r="C117" s="52">
        <f>F67</f>
        <v>46.48112091805379</v>
      </c>
      <c r="D117" s="51">
        <f t="shared" si="10"/>
        <v>92.96224183610758</v>
      </c>
      <c r="E117" s="51">
        <f t="shared" si="11"/>
        <v>139.44336275416137</v>
      </c>
      <c r="F117" s="51">
        <f t="shared" si="12"/>
        <v>185.92448367221516</v>
      </c>
      <c r="G117" s="53"/>
      <c r="H117" s="53"/>
    </row>
    <row r="118" spans="1:8" ht="25.5">
      <c r="A118" s="54" t="s">
        <v>66</v>
      </c>
      <c r="B118" s="50"/>
      <c r="C118" s="52">
        <f>F68</f>
        <v>58.10140114756724</v>
      </c>
      <c r="D118" s="51">
        <f t="shared" si="10"/>
        <v>116.20280229513448</v>
      </c>
      <c r="E118" s="51">
        <f t="shared" si="11"/>
        <v>174.30420344270172</v>
      </c>
      <c r="F118" s="51">
        <f t="shared" si="12"/>
        <v>232.40560459026895</v>
      </c>
      <c r="G118" s="53">
        <v>0.5</v>
      </c>
      <c r="H118" s="53"/>
    </row>
    <row r="119" spans="1:8" ht="26.25" thickBot="1">
      <c r="A119" s="93" t="s">
        <v>67</v>
      </c>
      <c r="B119" s="60"/>
      <c r="C119" s="62">
        <f>F69</f>
        <v>69.72168137708069</v>
      </c>
      <c r="D119" s="51">
        <f t="shared" si="10"/>
        <v>139.44336275416137</v>
      </c>
      <c r="E119" s="51">
        <f t="shared" si="11"/>
        <v>209.16504413124204</v>
      </c>
      <c r="F119" s="51">
        <f t="shared" si="12"/>
        <v>278.88672550832274</v>
      </c>
      <c r="G119" s="63">
        <v>1</v>
      </c>
      <c r="H119" s="63"/>
    </row>
    <row r="120" spans="1:7" ht="13.5" thickTop="1">
      <c r="A120" s="5"/>
      <c r="B120" s="5"/>
      <c r="C120" s="5"/>
      <c r="D120" s="5"/>
      <c r="E120" s="5"/>
      <c r="F120" s="5"/>
      <c r="G120" s="5"/>
    </row>
    <row r="121" spans="1:7" ht="12.75">
      <c r="A121" s="5" t="s">
        <v>78</v>
      </c>
      <c r="B121" s="5"/>
      <c r="C121" s="5"/>
      <c r="D121" s="5"/>
      <c r="E121" s="5"/>
      <c r="F121" s="5"/>
      <c r="G121" s="5"/>
    </row>
    <row r="122" spans="1:7" ht="45.75" customHeight="1">
      <c r="A122" s="120" t="s">
        <v>79</v>
      </c>
      <c r="B122" s="120"/>
      <c r="C122" s="120"/>
      <c r="D122" s="120"/>
      <c r="E122" s="120"/>
      <c r="F122" s="120"/>
      <c r="G122" s="120"/>
    </row>
    <row r="123" spans="1:7" ht="15.75">
      <c r="A123" s="101" t="s">
        <v>80</v>
      </c>
      <c r="B123" s="2"/>
      <c r="C123" s="5"/>
      <c r="D123" s="2"/>
      <c r="E123" s="5"/>
      <c r="F123" s="102">
        <f>VLOOKUP($B$50,LEGGE!$A$37:$F$41,3,0)</f>
        <v>74.36979346888606</v>
      </c>
      <c r="G123" s="5"/>
    </row>
    <row r="124" spans="1:7" ht="12.75">
      <c r="A124" s="5"/>
      <c r="B124" s="5"/>
      <c r="C124" s="5"/>
      <c r="D124" s="5"/>
      <c r="E124" s="5"/>
      <c r="F124" s="5"/>
      <c r="G124" s="5"/>
    </row>
    <row r="125" spans="1:7" ht="13.5" customHeight="1">
      <c r="A125" s="120" t="s">
        <v>81</v>
      </c>
      <c r="B125" s="120"/>
      <c r="C125" s="120"/>
      <c r="D125" s="120"/>
      <c r="E125" s="120"/>
      <c r="F125" s="120"/>
      <c r="G125" s="120"/>
    </row>
    <row r="126" spans="1:7" ht="15.75">
      <c r="A126" s="101" t="s">
        <v>82</v>
      </c>
      <c r="B126" s="2"/>
      <c r="C126" s="5"/>
      <c r="D126" s="5"/>
      <c r="E126" s="5"/>
      <c r="F126" s="102">
        <f>VLOOKUP($B$50,LEGGE!$A$37:$F$41,4,0)</f>
        <v>37.18489673444303</v>
      </c>
      <c r="G126" s="5"/>
    </row>
    <row r="127" spans="1:7" ht="63" customHeight="1">
      <c r="A127" s="120" t="s">
        <v>83</v>
      </c>
      <c r="B127" s="120"/>
      <c r="C127" s="120"/>
      <c r="D127" s="120"/>
      <c r="E127" s="120"/>
      <c r="F127" s="120"/>
      <c r="G127" s="120"/>
    </row>
    <row r="128" spans="1:7" ht="15.75">
      <c r="A128" s="103" t="s">
        <v>84</v>
      </c>
      <c r="B128" s="2"/>
      <c r="C128" s="5"/>
      <c r="D128" s="5"/>
      <c r="E128" s="2"/>
      <c r="F128" s="102">
        <f>VLOOKUP($B$50,LEGGE!$A$37:$F$41,5,0)</f>
        <v>3.098741394536919</v>
      </c>
      <c r="G128" s="5"/>
    </row>
    <row r="129" spans="1:7" ht="12.75">
      <c r="A129" s="4" t="s">
        <v>50</v>
      </c>
      <c r="B129" s="4"/>
      <c r="C129" s="4"/>
      <c r="D129" s="4"/>
      <c r="E129" s="4"/>
      <c r="F129" s="104" t="s">
        <v>50</v>
      </c>
      <c r="G129" s="5"/>
    </row>
    <row r="130" spans="1:7" ht="12.75">
      <c r="A130" s="4"/>
      <c r="B130" s="4"/>
      <c r="C130" s="4"/>
      <c r="D130" s="4"/>
      <c r="E130" s="4"/>
      <c r="F130" s="104"/>
      <c r="G130" s="5"/>
    </row>
    <row r="131" spans="1:7" ht="19.5" customHeight="1">
      <c r="A131" s="120" t="s">
        <v>85</v>
      </c>
      <c r="B131" s="120"/>
      <c r="C131" s="120"/>
      <c r="D131" s="120"/>
      <c r="E131" s="120"/>
      <c r="F131" s="120"/>
      <c r="G131" s="120"/>
    </row>
    <row r="132" spans="1:7" ht="15.75">
      <c r="A132" s="103" t="s">
        <v>86</v>
      </c>
      <c r="B132" s="5"/>
      <c r="C132" s="5"/>
      <c r="D132" s="5"/>
      <c r="E132" s="5"/>
      <c r="F132" s="102">
        <f>VLOOKUP($B$50,LEGGE!$A$37:$F$41,6,0)</f>
        <v>9.296224183610757</v>
      </c>
      <c r="G132" s="5"/>
    </row>
    <row r="133" spans="1:7" ht="12.75">
      <c r="A133" s="4" t="s">
        <v>50</v>
      </c>
      <c r="B133" s="5"/>
      <c r="C133" s="5"/>
      <c r="D133" s="5"/>
      <c r="E133" s="5"/>
      <c r="F133" s="104" t="s">
        <v>50</v>
      </c>
      <c r="G133" s="5"/>
    </row>
  </sheetData>
  <sheetProtection/>
  <mergeCells count="18">
    <mergeCell ref="A1:G1"/>
    <mergeCell ref="A2:G2"/>
    <mergeCell ref="A4:G4"/>
    <mergeCell ref="A5:G5"/>
    <mergeCell ref="A6:G6"/>
    <mergeCell ref="A39:G40"/>
    <mergeCell ref="A44:G44"/>
    <mergeCell ref="A45:G45"/>
    <mergeCell ref="A47:G47"/>
    <mergeCell ref="A48:G48"/>
    <mergeCell ref="A65:H65"/>
    <mergeCell ref="A80:G80"/>
    <mergeCell ref="A86:D86"/>
    <mergeCell ref="A109:G109"/>
    <mergeCell ref="A122:G122"/>
    <mergeCell ref="A125:G125"/>
    <mergeCell ref="A127:G127"/>
    <mergeCell ref="A131:G131"/>
  </mergeCells>
  <printOptions/>
  <pageMargins left="0.39370078740157505" right="0.39370078740157505" top="1.37755905511811" bottom="1.37755905511811" header="0.983858267716535" footer="0.983858267716535"/>
  <pageSetup fitToHeight="0" fitToWidth="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10.625" defaultRowHeight="14.25"/>
  <cols>
    <col min="1" max="1" width="57.375" style="110" customWidth="1"/>
    <col min="2" max="2" width="13.875" style="110" customWidth="1"/>
    <col min="3" max="3" width="14.00390625" style="110" customWidth="1"/>
    <col min="4" max="4" width="10.50390625" style="110" customWidth="1"/>
    <col min="5" max="5" width="14.375" style="110" customWidth="1"/>
    <col min="6" max="6" width="9.00390625" style="110" customWidth="1"/>
    <col min="7" max="7" width="14.125" style="110" customWidth="1"/>
    <col min="8" max="8" width="14.625" style="110" customWidth="1"/>
    <col min="9" max="16384" width="10.625" style="110" customWidth="1"/>
  </cols>
  <sheetData>
    <row r="1" spans="1:8" ht="12.75">
      <c r="A1" s="105" t="s">
        <v>87</v>
      </c>
      <c r="B1" s="106" t="s">
        <v>88</v>
      </c>
      <c r="C1" s="106" t="s">
        <v>89</v>
      </c>
      <c r="D1" s="107"/>
      <c r="E1" s="107" t="s">
        <v>90</v>
      </c>
      <c r="F1" s="108">
        <v>1936.27</v>
      </c>
      <c r="G1" s="109"/>
      <c r="H1" s="109"/>
    </row>
    <row r="2" spans="1:8" ht="12.75">
      <c r="A2" s="106" t="s">
        <v>91</v>
      </c>
      <c r="B2" s="106">
        <f>2800/F1</f>
        <v>1.4460793174505622</v>
      </c>
      <c r="C2" s="106">
        <f>840/F1</f>
        <v>0.4338237952351687</v>
      </c>
      <c r="D2" s="2"/>
      <c r="E2" s="2"/>
      <c r="F2" s="108"/>
      <c r="G2" s="109"/>
      <c r="H2" s="109"/>
    </row>
    <row r="3" spans="1:8" ht="12.75">
      <c r="A3" s="106" t="s">
        <v>92</v>
      </c>
      <c r="B3" s="106">
        <f>2600/F1</f>
        <v>1.3427879376326648</v>
      </c>
      <c r="C3" s="106">
        <f>780/F1</f>
        <v>0.4028363812897995</v>
      </c>
      <c r="D3" s="108"/>
      <c r="E3" s="108"/>
      <c r="F3" s="108"/>
      <c r="G3" s="109"/>
      <c r="H3" s="109"/>
    </row>
    <row r="4" spans="1:8" ht="12.75">
      <c r="A4" s="106" t="s">
        <v>93</v>
      </c>
      <c r="B4" s="106">
        <f>2400/F1</f>
        <v>1.2394965578147676</v>
      </c>
      <c r="C4" s="106">
        <f>720/F1</f>
        <v>0.3718489673444303</v>
      </c>
      <c r="D4" s="108"/>
      <c r="E4" s="108"/>
      <c r="F4" s="108"/>
      <c r="G4" s="109"/>
      <c r="H4" s="109"/>
    </row>
    <row r="5" spans="1:8" ht="12.75">
      <c r="A5" s="106" t="s">
        <v>6</v>
      </c>
      <c r="B5" s="106">
        <f>2200/F1</f>
        <v>1.1362051779968703</v>
      </c>
      <c r="C5" s="106">
        <f>660/F1</f>
        <v>0.3408615533990611</v>
      </c>
      <c r="D5" s="108"/>
      <c r="E5" s="108"/>
      <c r="F5" s="108"/>
      <c r="G5" s="109"/>
      <c r="H5" s="109"/>
    </row>
    <row r="6" spans="1:8" ht="12.75">
      <c r="A6" s="106" t="s">
        <v>94</v>
      </c>
      <c r="B6" s="106">
        <f>2000/F1</f>
        <v>1.0329137981789729</v>
      </c>
      <c r="C6" s="106">
        <f>600/F1</f>
        <v>0.3098741394536919</v>
      </c>
      <c r="D6" s="108"/>
      <c r="E6" s="108"/>
      <c r="F6" s="108"/>
      <c r="G6" s="109"/>
      <c r="H6" s="109"/>
    </row>
    <row r="7" spans="1:8" ht="12.75">
      <c r="A7" s="108"/>
      <c r="B7" s="108"/>
      <c r="C7" s="108"/>
      <c r="D7" s="108"/>
      <c r="E7" s="108"/>
      <c r="F7" s="108"/>
      <c r="G7" s="109"/>
      <c r="H7" s="109"/>
    </row>
    <row r="8" spans="1:8" ht="12.75">
      <c r="A8" s="105" t="s">
        <v>95</v>
      </c>
      <c r="B8" s="106">
        <v>36951</v>
      </c>
      <c r="C8" s="108" t="s">
        <v>96</v>
      </c>
      <c r="D8" s="108"/>
      <c r="E8" s="108"/>
      <c r="F8" s="108"/>
      <c r="G8" s="109"/>
      <c r="H8" s="109"/>
    </row>
    <row r="9" spans="1:8" ht="12.75">
      <c r="A9" s="111" t="s">
        <v>91</v>
      </c>
      <c r="B9" s="111">
        <f>38000/F1</f>
        <v>19.625362165400485</v>
      </c>
      <c r="C9" s="108">
        <f>32000/F1</f>
        <v>16.526620770863566</v>
      </c>
      <c r="D9" s="2"/>
      <c r="E9" s="108"/>
      <c r="F9" s="108"/>
      <c r="G9" s="109"/>
      <c r="H9" s="109"/>
    </row>
    <row r="10" spans="1:8" ht="12.75">
      <c r="A10" s="111" t="s">
        <v>92</v>
      </c>
      <c r="B10" s="111">
        <f>34000/F1</f>
        <v>17.55953456904254</v>
      </c>
      <c r="C10" s="108">
        <f>28000/F1</f>
        <v>14.460793174505621</v>
      </c>
      <c r="D10" s="108"/>
      <c r="E10" s="108"/>
      <c r="F10" s="108"/>
      <c r="G10" s="109"/>
      <c r="H10" s="109"/>
    </row>
    <row r="11" spans="1:8" ht="12.75">
      <c r="A11" s="111" t="s">
        <v>93</v>
      </c>
      <c r="B11" s="111">
        <f>30000/F1</f>
        <v>15.493706972684596</v>
      </c>
      <c r="C11" s="108">
        <f>24000/F1</f>
        <v>12.394965578147676</v>
      </c>
      <c r="D11" s="108"/>
      <c r="E11" s="108"/>
      <c r="F11" s="108" t="s">
        <v>50</v>
      </c>
      <c r="G11" s="109"/>
      <c r="H11" s="109"/>
    </row>
    <row r="12" spans="1:8" ht="12.75">
      <c r="A12" s="111" t="s">
        <v>6</v>
      </c>
      <c r="B12" s="111">
        <f>26000/F1</f>
        <v>13.427879376326649</v>
      </c>
      <c r="C12" s="108">
        <f>20000/F1</f>
        <v>10.32913798178973</v>
      </c>
      <c r="D12" s="108"/>
      <c r="E12" s="108"/>
      <c r="F12" s="108"/>
      <c r="G12" s="109"/>
      <c r="H12" s="109"/>
    </row>
    <row r="13" spans="1:8" ht="12.75">
      <c r="A13" s="111" t="s">
        <v>94</v>
      </c>
      <c r="B13" s="111">
        <f>22000/F1</f>
        <v>11.362051779968702</v>
      </c>
      <c r="C13" s="108">
        <f>16000/F1</f>
        <v>8.263310385431783</v>
      </c>
      <c r="D13" s="108"/>
      <c r="E13" s="108"/>
      <c r="F13" s="108"/>
      <c r="G13" s="109"/>
      <c r="H13" s="109"/>
    </row>
    <row r="14" spans="1:8" ht="12.75">
      <c r="A14" s="108"/>
      <c r="B14" s="108"/>
      <c r="C14" s="108"/>
      <c r="D14" s="108"/>
      <c r="E14" s="108"/>
      <c r="F14" s="108"/>
      <c r="G14" s="109"/>
      <c r="H14" s="109"/>
    </row>
    <row r="15" spans="1:8" ht="12.75">
      <c r="A15" s="108"/>
      <c r="B15" s="108"/>
      <c r="C15" s="108"/>
      <c r="D15" s="108"/>
      <c r="E15" s="108"/>
      <c r="F15" s="108"/>
      <c r="G15" s="109"/>
      <c r="H15" s="109"/>
    </row>
    <row r="16" spans="1:8" ht="15.75">
      <c r="A16" s="112" t="s">
        <v>56</v>
      </c>
      <c r="B16" s="113">
        <f>144000/F1</f>
        <v>74.36979346888606</v>
      </c>
      <c r="C16" s="114"/>
      <c r="D16" s="2"/>
      <c r="E16" s="108"/>
      <c r="F16" s="108"/>
      <c r="G16" s="109"/>
      <c r="H16" s="109"/>
    </row>
    <row r="17" spans="1:8" ht="15.75">
      <c r="A17" s="112" t="s">
        <v>57</v>
      </c>
      <c r="B17" s="113">
        <f>144000/F1</f>
        <v>74.36979346888606</v>
      </c>
      <c r="C17" s="114"/>
      <c r="D17" s="114"/>
      <c r="E17" s="108"/>
      <c r="F17" s="108"/>
      <c r="G17" s="109"/>
      <c r="H17" s="109"/>
    </row>
    <row r="18" spans="1:8" ht="15.75">
      <c r="A18" s="112" t="s">
        <v>58</v>
      </c>
      <c r="B18" s="113">
        <f>96000/F1</f>
        <v>49.579862312590706</v>
      </c>
      <c r="C18" s="114"/>
      <c r="D18" s="114"/>
      <c r="E18" s="108"/>
      <c r="F18" s="108"/>
      <c r="G18" s="109"/>
      <c r="H18" s="109"/>
    </row>
    <row r="19" spans="1:8" ht="15.75">
      <c r="A19" s="112" t="s">
        <v>59</v>
      </c>
      <c r="B19" s="113">
        <f>96000/F1</f>
        <v>49.579862312590706</v>
      </c>
      <c r="C19" s="114"/>
      <c r="D19" s="114"/>
      <c r="E19" s="108"/>
      <c r="F19" s="108"/>
      <c r="G19" s="109"/>
      <c r="H19" s="109"/>
    </row>
    <row r="20" spans="1:8" ht="15.75">
      <c r="A20" s="112" t="s">
        <v>60</v>
      </c>
      <c r="B20" s="113">
        <f>48000/F1</f>
        <v>24.789931156295353</v>
      </c>
      <c r="C20" s="114"/>
      <c r="D20" s="114"/>
      <c r="E20" s="108"/>
      <c r="F20" s="108"/>
      <c r="G20" s="109"/>
      <c r="H20" s="109"/>
    </row>
    <row r="21" spans="1:8" ht="12.75">
      <c r="A21" s="108"/>
      <c r="B21" s="108"/>
      <c r="C21" s="108"/>
      <c r="D21" s="108"/>
      <c r="E21" s="108"/>
      <c r="F21" s="108"/>
      <c r="G21" s="109"/>
      <c r="H21" s="109"/>
    </row>
    <row r="22" spans="1:8" ht="12.75">
      <c r="A22" s="105" t="s">
        <v>97</v>
      </c>
      <c r="B22" s="106"/>
      <c r="C22" s="108"/>
      <c r="D22" s="107"/>
      <c r="E22" s="108"/>
      <c r="F22" s="108"/>
      <c r="G22" s="109"/>
      <c r="H22" s="109"/>
    </row>
    <row r="23" spans="1:8" ht="12.75">
      <c r="A23" s="106" t="s">
        <v>91</v>
      </c>
      <c r="B23" s="106">
        <f>128000/F1</f>
        <v>66.10648308345426</v>
      </c>
      <c r="C23" s="108"/>
      <c r="D23" s="108"/>
      <c r="E23" s="108"/>
      <c r="F23" s="108"/>
      <c r="G23" s="109"/>
      <c r="H23" s="109"/>
    </row>
    <row r="24" spans="1:8" ht="12.75">
      <c r="A24" s="106" t="s">
        <v>92</v>
      </c>
      <c r="B24" s="106">
        <f>112000/F1</f>
        <v>57.843172698022485</v>
      </c>
      <c r="C24" s="108"/>
      <c r="D24" s="108"/>
      <c r="E24" s="108"/>
      <c r="F24" s="108"/>
      <c r="G24" s="109"/>
      <c r="H24" s="109"/>
    </row>
    <row r="25" spans="1:8" ht="12.75">
      <c r="A25" s="106" t="s">
        <v>93</v>
      </c>
      <c r="B25" s="106">
        <f>96000/F1</f>
        <v>49.579862312590706</v>
      </c>
      <c r="C25" s="2"/>
      <c r="D25" s="108"/>
      <c r="E25" s="108"/>
      <c r="F25" s="108"/>
      <c r="G25" s="109"/>
      <c r="H25" s="109"/>
    </row>
    <row r="26" spans="1:8" ht="12.75">
      <c r="A26" s="106" t="s">
        <v>6</v>
      </c>
      <c r="B26" s="108">
        <f>80000/F1</f>
        <v>41.31655192715892</v>
      </c>
      <c r="C26" s="108"/>
      <c r="D26" s="108"/>
      <c r="E26" s="108"/>
      <c r="F26" s="108"/>
      <c r="G26" s="109"/>
      <c r="H26" s="109"/>
    </row>
    <row r="27" spans="1:8" ht="12.75">
      <c r="A27" s="106" t="s">
        <v>94</v>
      </c>
      <c r="B27" s="106">
        <f>64000/F1</f>
        <v>33.05324154172713</v>
      </c>
      <c r="C27" s="108"/>
      <c r="D27" s="108"/>
      <c r="E27" s="108"/>
      <c r="F27" s="108"/>
      <c r="G27" s="109"/>
      <c r="H27" s="109"/>
    </row>
    <row r="28" spans="1:8" ht="12.75">
      <c r="A28" s="108"/>
      <c r="B28" s="108"/>
      <c r="C28" s="108"/>
      <c r="D28" s="108"/>
      <c r="E28" s="108"/>
      <c r="F28" s="108"/>
      <c r="G28" s="109"/>
      <c r="H28" s="109"/>
    </row>
    <row r="29" spans="1:8" ht="12.75">
      <c r="A29" s="106" t="s">
        <v>98</v>
      </c>
      <c r="B29" s="106"/>
      <c r="C29" s="108"/>
      <c r="D29" s="105" t="s">
        <v>99</v>
      </c>
      <c r="E29" s="108"/>
      <c r="F29" s="108"/>
      <c r="G29" s="109"/>
      <c r="H29" s="109"/>
    </row>
    <row r="30" spans="1:8" ht="12.75">
      <c r="A30" s="106" t="s">
        <v>91</v>
      </c>
      <c r="B30" s="106">
        <f>8000/F1</f>
        <v>4.1316551927158915</v>
      </c>
      <c r="C30" s="108"/>
      <c r="D30" s="106">
        <f>B30+(B30*1.5)</f>
        <v>10.329137981789728</v>
      </c>
      <c r="E30" s="108"/>
      <c r="F30" s="108"/>
      <c r="G30" s="109"/>
      <c r="H30" s="109"/>
    </row>
    <row r="31" spans="1:8" ht="12.75">
      <c r="A31" s="106" t="s">
        <v>92</v>
      </c>
      <c r="B31" s="106">
        <f>7000/F1</f>
        <v>3.6151982936264053</v>
      </c>
      <c r="C31" s="108"/>
      <c r="D31" s="106">
        <f>B31+(B31*1.5)</f>
        <v>9.037995734066012</v>
      </c>
      <c r="E31" s="108"/>
      <c r="F31" s="108"/>
      <c r="G31" s="109"/>
      <c r="H31" s="109"/>
    </row>
    <row r="32" spans="1:8" ht="12.75">
      <c r="A32" s="106" t="s">
        <v>93</v>
      </c>
      <c r="B32" s="106">
        <f>6000/F1</f>
        <v>3.098741394536919</v>
      </c>
      <c r="C32" s="108"/>
      <c r="D32" s="106">
        <f>B32+(B32*1.5)</f>
        <v>7.746853486342298</v>
      </c>
      <c r="E32" s="108"/>
      <c r="F32" s="108"/>
      <c r="G32" s="109"/>
      <c r="H32" s="109"/>
    </row>
    <row r="33" spans="1:8" ht="12.75">
      <c r="A33" s="106" t="s">
        <v>6</v>
      </c>
      <c r="B33" s="106">
        <f>5000/F1</f>
        <v>2.5822844954474324</v>
      </c>
      <c r="C33" s="108"/>
      <c r="D33" s="108"/>
      <c r="E33" s="108"/>
      <c r="F33" s="108"/>
      <c r="G33" s="109"/>
      <c r="H33" s="109"/>
    </row>
    <row r="34" spans="1:8" ht="12.75">
      <c r="A34" s="106" t="s">
        <v>94</v>
      </c>
      <c r="B34" s="106">
        <f>4000/F1</f>
        <v>2.0658275963579458</v>
      </c>
      <c r="C34" s="108"/>
      <c r="D34" s="108"/>
      <c r="E34" s="108"/>
      <c r="F34" s="108"/>
      <c r="G34" s="109"/>
      <c r="H34" s="109"/>
    </row>
    <row r="35" spans="1:8" ht="12.75">
      <c r="A35" s="108"/>
      <c r="B35" s="108"/>
      <c r="C35" s="108"/>
      <c r="D35" s="108"/>
      <c r="E35" s="108"/>
      <c r="F35" s="108"/>
      <c r="G35" s="109"/>
      <c r="H35" s="109"/>
    </row>
    <row r="36" spans="1:8" ht="12.75">
      <c r="A36" s="105" t="s">
        <v>100</v>
      </c>
      <c r="B36" s="105" t="s">
        <v>101</v>
      </c>
      <c r="C36" s="105" t="s">
        <v>102</v>
      </c>
      <c r="D36" s="105" t="s">
        <v>103</v>
      </c>
      <c r="E36" s="105" t="s">
        <v>104</v>
      </c>
      <c r="F36" s="105" t="s">
        <v>105</v>
      </c>
      <c r="G36" s="115" t="s">
        <v>106</v>
      </c>
      <c r="H36" s="115" t="s">
        <v>107</v>
      </c>
    </row>
    <row r="37" spans="1:8" ht="12.75">
      <c r="A37" s="106" t="s">
        <v>91</v>
      </c>
      <c r="B37" s="106">
        <f>B9</f>
        <v>19.625362165400485</v>
      </c>
      <c r="C37" s="106">
        <f>192000/F1</f>
        <v>99.15972462518141</v>
      </c>
      <c r="D37" s="106">
        <f>C37/2</f>
        <v>49.579862312590706</v>
      </c>
      <c r="E37" s="106">
        <f>8000/F1</f>
        <v>4.1316551927158915</v>
      </c>
      <c r="F37" s="106">
        <f>24000/F1</f>
        <v>12.394965578147676</v>
      </c>
      <c r="G37" s="116">
        <f aca="true" t="shared" si="0" ref="G37:H39">E37+(E37*1.5)</f>
        <v>10.329137981789728</v>
      </c>
      <c r="H37" s="116">
        <f t="shared" si="0"/>
        <v>30.98741394536919</v>
      </c>
    </row>
    <row r="38" spans="1:8" ht="12.75">
      <c r="A38" s="106" t="s">
        <v>92</v>
      </c>
      <c r="B38" s="106">
        <f>B10</f>
        <v>17.55953456904254</v>
      </c>
      <c r="C38" s="106">
        <f>168000/F1</f>
        <v>86.76475904703373</v>
      </c>
      <c r="D38" s="106">
        <f>C38/2</f>
        <v>43.38237952351687</v>
      </c>
      <c r="E38" s="106">
        <f>7000/F1</f>
        <v>3.6151982936264053</v>
      </c>
      <c r="F38" s="106">
        <f>21000/F1</f>
        <v>10.845594880879217</v>
      </c>
      <c r="G38" s="116">
        <f t="shared" si="0"/>
        <v>9.037995734066012</v>
      </c>
      <c r="H38" s="116">
        <f t="shared" si="0"/>
        <v>27.11398720219804</v>
      </c>
    </row>
    <row r="39" spans="1:8" ht="12.75">
      <c r="A39" s="106" t="s">
        <v>93</v>
      </c>
      <c r="B39" s="106">
        <f>B11</f>
        <v>15.493706972684596</v>
      </c>
      <c r="C39" s="106">
        <f>144000/F1</f>
        <v>74.36979346888606</v>
      </c>
      <c r="D39" s="106">
        <f>C39/2</f>
        <v>37.18489673444303</v>
      </c>
      <c r="E39" s="106">
        <f>6000/F1</f>
        <v>3.098741394536919</v>
      </c>
      <c r="F39" s="106">
        <f>18000/F1</f>
        <v>9.296224183610757</v>
      </c>
      <c r="G39" s="116">
        <f t="shared" si="0"/>
        <v>7.746853486342298</v>
      </c>
      <c r="H39" s="116">
        <f t="shared" si="0"/>
        <v>23.240560459026895</v>
      </c>
    </row>
    <row r="40" spans="1:8" ht="12.75">
      <c r="A40" s="106" t="s">
        <v>6</v>
      </c>
      <c r="B40" s="106">
        <f>B12</f>
        <v>13.427879376326649</v>
      </c>
      <c r="C40" s="106">
        <f>120000/F1</f>
        <v>61.97482789073838</v>
      </c>
      <c r="D40" s="106">
        <f>C40/2</f>
        <v>30.98741394536919</v>
      </c>
      <c r="E40" s="106">
        <f>5000/F1</f>
        <v>2.5822844954474324</v>
      </c>
      <c r="F40" s="106">
        <f>15000/F1</f>
        <v>7.746853486342298</v>
      </c>
      <c r="G40" s="117"/>
      <c r="H40" s="117"/>
    </row>
    <row r="41" spans="1:8" ht="12.75">
      <c r="A41" s="106" t="s">
        <v>94</v>
      </c>
      <c r="B41" s="106">
        <f>B13</f>
        <v>11.362051779968702</v>
      </c>
      <c r="C41" s="106">
        <f>96000/F1</f>
        <v>49.579862312590706</v>
      </c>
      <c r="D41" s="106">
        <f>C41/2</f>
        <v>24.789931156295353</v>
      </c>
      <c r="E41" s="106">
        <f>4000/F1</f>
        <v>2.0658275963579458</v>
      </c>
      <c r="F41" s="106">
        <f>12000/F1</f>
        <v>6.197482789073838</v>
      </c>
      <c r="G41" s="117"/>
      <c r="H41" s="117"/>
    </row>
  </sheetData>
  <sheetProtection/>
  <printOptions gridLines="1"/>
  <pageMargins left="0.7500000000000001" right="0.7500000000000001" top="1.393700787401575" bottom="1.393700787401575" header="1" footer="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Raimondi</dc:creator>
  <cp:keywords/>
  <dc:description/>
  <cp:lastModifiedBy>Franco Raimondi</cp:lastModifiedBy>
  <dcterms:created xsi:type="dcterms:W3CDTF">2019-03-07T14:44:57Z</dcterms:created>
  <dcterms:modified xsi:type="dcterms:W3CDTF">2019-03-27T10:13:41Z</dcterms:modified>
  <cp:category/>
  <cp:version/>
  <cp:contentType/>
  <cp:contentStatus/>
  <cp:revision>13</cp:revision>
</cp:coreProperties>
</file>