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raim\Desktop\nuove tariffe\tariffe\IV cl\Portoferraio\"/>
    </mc:Choice>
  </mc:AlternateContent>
  <xr:revisionPtr revIDLastSave="0" documentId="13_ncr:1_{31A1B02A-5CED-408C-8319-188C37A93AD3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AUMSUP20" sheetId="1" r:id="rId1"/>
    <sheet name="LEGGE" sheetId="2" r:id="rId2"/>
  </sheets>
  <externalReferences>
    <externalReference r:id="rId3"/>
  </externalReferences>
  <definedNames>
    <definedName name="_xlnm.Print_Area" localSheetId="0">AUMSUP20!$A:$G</definedName>
    <definedName name="TAR_AFF">LEGGE!$A$1:$C$6</definedName>
  </definedNames>
  <calcPr calcId="181029"/>
</workbook>
</file>

<file path=xl/calcChain.xml><?xml version="1.0" encoding="utf-8"?>
<calcChain xmlns="http://schemas.openxmlformats.org/spreadsheetml/2006/main">
  <c r="F75" i="1" l="1"/>
  <c r="F74" i="1"/>
  <c r="F73" i="1"/>
  <c r="F72" i="1"/>
  <c r="F71" i="1"/>
  <c r="F48" i="1" l="1"/>
  <c r="B4" i="2"/>
  <c r="B6" i="2"/>
  <c r="F14" i="1" s="1"/>
  <c r="B5" i="2"/>
  <c r="C4" i="2"/>
  <c r="C6" i="2"/>
  <c r="F15" i="1" s="1"/>
  <c r="G15" i="1" s="1"/>
  <c r="C5" i="2"/>
  <c r="B11" i="2"/>
  <c r="B39" i="2"/>
  <c r="C94" i="1" s="1"/>
  <c r="B13" i="2"/>
  <c r="B41" i="2"/>
  <c r="B12" i="2"/>
  <c r="B40" i="2"/>
  <c r="B16" i="2"/>
  <c r="B17" i="2"/>
  <c r="B18" i="2"/>
  <c r="B19" i="2"/>
  <c r="B20" i="2"/>
  <c r="B25" i="2"/>
  <c r="B27" i="2"/>
  <c r="B26" i="2"/>
  <c r="B32" i="2"/>
  <c r="D32" i="2"/>
  <c r="B34" i="2"/>
  <c r="B33" i="2"/>
  <c r="C39" i="2"/>
  <c r="D39" i="2"/>
  <c r="F104" i="1" s="1"/>
  <c r="C41" i="2"/>
  <c r="C40" i="2"/>
  <c r="D40" i="2" s="1"/>
  <c r="D41" i="2"/>
  <c r="E39" i="2"/>
  <c r="G39" i="2"/>
  <c r="E41" i="2"/>
  <c r="E40" i="2"/>
  <c r="F39" i="2"/>
  <c r="F109" i="1" s="1"/>
  <c r="H39" i="2"/>
  <c r="F41" i="2"/>
  <c r="F40" i="2"/>
  <c r="A48" i="1"/>
  <c r="B2" i="2"/>
  <c r="C2" i="2"/>
  <c r="B3" i="2"/>
  <c r="C3" i="2"/>
  <c r="B9" i="2"/>
  <c r="C9" i="2"/>
  <c r="B10" i="2"/>
  <c r="B38" i="2" s="1"/>
  <c r="C10" i="2"/>
  <c r="C11" i="2"/>
  <c r="C12" i="2"/>
  <c r="C13" i="2"/>
  <c r="B23" i="2"/>
  <c r="B24" i="2"/>
  <c r="B30" i="2"/>
  <c r="D30" i="2" s="1"/>
  <c r="B31" i="2"/>
  <c r="D31" i="2" s="1"/>
  <c r="B37" i="2"/>
  <c r="C37" i="2"/>
  <c r="D37" i="2"/>
  <c r="E37" i="2"/>
  <c r="G37" i="2"/>
  <c r="F37" i="2"/>
  <c r="H37" i="2"/>
  <c r="C38" i="2"/>
  <c r="D38" i="2"/>
  <c r="E38" i="2"/>
  <c r="F38" i="2"/>
  <c r="H38" i="2" s="1"/>
  <c r="G38" i="2"/>
  <c r="F101" i="1"/>
  <c r="F55" i="1"/>
  <c r="C55" i="1" s="1"/>
  <c r="F89" i="1"/>
  <c r="F106" i="1"/>
  <c r="F83" i="1"/>
  <c r="C83" i="1" s="1"/>
  <c r="D55" i="1" l="1"/>
  <c r="E55" i="1"/>
  <c r="F59" i="1"/>
  <c r="C59" i="1" s="1"/>
  <c r="E59" i="1" s="1"/>
  <c r="E83" i="1"/>
  <c r="D83" i="1"/>
  <c r="D94" i="1"/>
  <c r="E94" i="1"/>
  <c r="F94" i="1"/>
  <c r="C25" i="1"/>
  <c r="G14" i="1"/>
  <c r="C26" i="1" s="1"/>
  <c r="D26" i="1" s="1"/>
  <c r="D59" i="1"/>
  <c r="F56" i="1"/>
  <c r="F57" i="1" s="1"/>
  <c r="C57" i="1" s="1"/>
  <c r="E57" i="1" s="1"/>
  <c r="C95" i="1"/>
  <c r="F95" i="1" s="1"/>
  <c r="F84" i="1"/>
  <c r="D95" i="1" l="1"/>
  <c r="E95" i="1"/>
  <c r="F60" i="1"/>
  <c r="C60" i="1" s="1"/>
  <c r="D25" i="1"/>
  <c r="D57" i="1"/>
  <c r="C84" i="1"/>
  <c r="F58" i="1"/>
  <c r="C58" i="1" s="1"/>
  <c r="E58" i="1" s="1"/>
  <c r="C56" i="1"/>
  <c r="D56" i="1" s="1"/>
  <c r="C96" i="1"/>
  <c r="C97" i="1"/>
  <c r="E26" i="1"/>
  <c r="F62" i="1"/>
  <c r="C62" i="1" s="1"/>
  <c r="F61" i="1" l="1"/>
  <c r="C61" i="1" s="1"/>
  <c r="D58" i="1"/>
  <c r="E25" i="1"/>
  <c r="E56" i="1"/>
  <c r="F97" i="1"/>
  <c r="E97" i="1"/>
  <c r="D97" i="1"/>
  <c r="E96" i="1"/>
  <c r="F96" i="1"/>
  <c r="D96" i="1"/>
  <c r="D84" i="1"/>
  <c r="E84" i="1"/>
  <c r="F26" i="1"/>
  <c r="D60" i="1"/>
  <c r="E60" i="1"/>
  <c r="D62" i="1"/>
  <c r="E62" i="1"/>
  <c r="D61" i="1"/>
  <c r="E61" i="1"/>
  <c r="F25" i="1" l="1"/>
  <c r="G26" i="1"/>
  <c r="G25" i="1" l="1"/>
</calcChain>
</file>

<file path=xl/sharedStrings.xml><?xml version="1.0" encoding="utf-8"?>
<sst xmlns="http://schemas.openxmlformats.org/spreadsheetml/2006/main" count="147" uniqueCount="135">
  <si>
    <t>DIRITTI SULLE PUBBLICHE AFFISSIONI  - TARIFFE</t>
  </si>
  <si>
    <t>D.LGS. N. 507 DEL 15.11.93   E SUCCESSIVE MODIFICAZIONI</t>
  </si>
  <si>
    <t>LEGGE N. 449 DEL 27.12.97 ART. 11 COMMA 10</t>
  </si>
  <si>
    <t>LEGGE N. 488 DEL 23.12.99 ART. 30 COMMA 17</t>
  </si>
  <si>
    <t>EURO</t>
  </si>
  <si>
    <t>CAT. SPEC.</t>
  </si>
  <si>
    <r>
      <rPr>
        <sz val="12"/>
        <color indexed="8"/>
        <rFont val="Times New Roman"/>
        <family val="1"/>
      </rPr>
      <t xml:space="preserve">ART. 19  - </t>
    </r>
    <r>
      <rPr>
        <u/>
        <sz val="12"/>
        <color indexed="8"/>
        <rFont val="Times New Roman"/>
        <family val="1"/>
      </rPr>
      <t>TARIFFE PER CIASCUN FOGLIO DI CM. 70 x 100 O FRAZIONI</t>
    </r>
  </si>
  <si>
    <t>Superfici inferiori a mq. 1</t>
  </si>
  <si>
    <t>Superfici superiori a mq. 1</t>
  </si>
  <si>
    <t>TARIFFA PER I PRIMI 10 GG</t>
  </si>
  <si>
    <t xml:space="preserve">TARIFFA PER IL PERIODO SUCCESSIVO DI 5 GIORNI O FRAZIONE </t>
  </si>
  <si>
    <t>70 X 100 = Fogli</t>
  </si>
  <si>
    <t>100 X 140 = Fogli</t>
  </si>
  <si>
    <t>140 X 200 = Fogli</t>
  </si>
  <si>
    <t>6 X 3 = Fogli</t>
  </si>
  <si>
    <t xml:space="preserve">Fino a gg.: </t>
  </si>
  <si>
    <t>Superfici inferiori a mq. 1</t>
  </si>
  <si>
    <t>Superfici superiori a mq. 1</t>
  </si>
  <si>
    <t>N.B.</t>
  </si>
  <si>
    <r>
      <rPr>
        <sz val="12"/>
        <color indexed="8"/>
        <rFont val="Wingdings"/>
        <charset val="2"/>
      </rPr>
      <t>§</t>
    </r>
    <r>
      <rPr>
        <sz val="12"/>
        <color indexed="8"/>
        <rFont val="Times New Roman"/>
        <family val="1"/>
      </rPr>
      <t>Per ogni commissione inferiore a cinquanta fogli il diritto è maggiorato del 50%</t>
    </r>
  </si>
  <si>
    <r>
      <rPr>
        <sz val="12"/>
        <color indexed="8"/>
        <rFont val="Wingdings"/>
        <charset val="2"/>
      </rPr>
      <t>§</t>
    </r>
    <r>
      <rPr>
        <sz val="12"/>
        <color indexed="8"/>
        <rFont val="Times New Roman"/>
        <family val="1"/>
      </rPr>
      <t xml:space="preserve">Per i manifesti costituiti da otto fino a dodici fogli il diritto è maggiorato del 50% </t>
    </r>
  </si>
  <si>
    <r>
      <rPr>
        <sz val="12"/>
        <color indexed="8"/>
        <rFont val="Wingdings"/>
        <charset val="2"/>
      </rPr>
      <t>§</t>
    </r>
    <r>
      <rPr>
        <sz val="12"/>
        <color indexed="8"/>
        <rFont val="Times New Roman"/>
        <family val="1"/>
      </rPr>
      <t>Per i manifesti costituiti da più di dodici fogli il diritto è maggiorato del 100%</t>
    </r>
  </si>
  <si>
    <t>ART. 22 – DIRITTI DI URGENZA                                       L. 50.000</t>
  </si>
  <si>
    <r>
      <rPr>
        <sz val="12"/>
        <color indexed="8"/>
        <rFont val="Times New Roman"/>
        <family val="1"/>
      </rPr>
      <t xml:space="preserve">ART. 12 – </t>
    </r>
    <r>
      <rPr>
        <u/>
        <sz val="12"/>
        <color indexed="8"/>
        <rFont val="Times New Roman"/>
        <family val="1"/>
      </rPr>
      <t>TARIFFA PREVISTA PER OGNI MQ. E  PER OGNI ANNO SOLARE</t>
    </r>
  </si>
  <si>
    <t>TIPO</t>
  </si>
  <si>
    <t>1mese o frazione</t>
  </si>
  <si>
    <t>2mesi o frazione</t>
  </si>
  <si>
    <t>3 mesi o frazione</t>
  </si>
  <si>
    <t>1 ANNO</t>
  </si>
  <si>
    <t>ORDINARIA Superfici fino a mq. 1</t>
  </si>
  <si>
    <t xml:space="preserve">ORDINARIA Superfici comprese tra mq. 1,01 e 5,50 </t>
  </si>
  <si>
    <t>LUMINOSA Superfici fino a mq. 1</t>
  </si>
  <si>
    <t xml:space="preserve">LUMINOSA Superfici comprese tra mq. 1,01 e 5,50 </t>
  </si>
  <si>
    <t xml:space="preserve"> </t>
  </si>
  <si>
    <t>N.B. :</t>
  </si>
  <si>
    <r>
      <rPr>
        <sz val="10"/>
        <color indexed="8"/>
        <rFont val="Wingdings"/>
        <charset val="2"/>
      </rPr>
      <t>§</t>
    </r>
    <r>
      <rPr>
        <sz val="10"/>
        <color indexed="8"/>
        <rFont val="Times New Roman"/>
        <family val="1"/>
      </rPr>
      <t>Per la pubblicità che abbia superficie compresa tra mq. 5,5, e 8,5 la tariffa di cui sopra è maggiorata del 50%</t>
    </r>
  </si>
  <si>
    <r>
      <rPr>
        <sz val="10"/>
        <color indexed="8"/>
        <rFont val="Wingdings"/>
        <charset val="2"/>
      </rPr>
      <t>§</t>
    </r>
    <r>
      <rPr>
        <sz val="10"/>
        <color indexed="8"/>
        <rFont val="Times New Roman"/>
        <family val="1"/>
      </rPr>
      <t>Per la pubblicità che abbia superficie superiore a mq. 8,5 la tariffa di cui sopra è maggiorata del 100%</t>
    </r>
  </si>
  <si>
    <t>Tali maggiorazioni si applicano sempre sulla tariffa base.</t>
  </si>
  <si>
    <r>
      <rPr>
        <sz val="12"/>
        <color indexed="8"/>
        <rFont val="Times New Roman"/>
        <family val="1"/>
      </rPr>
      <t xml:space="preserve">ART. 13 – </t>
    </r>
    <r>
      <rPr>
        <u/>
        <sz val="12"/>
        <color indexed="8"/>
        <rFont val="Times New Roman"/>
        <family val="1"/>
      </rPr>
      <t>TARIFFA ANNUALE PER AUTOMEZZI PUBBLICITARI ADIBITI AI TRASPORTI DELLA     AZIENDA</t>
    </r>
  </si>
  <si>
    <r>
      <rPr>
        <sz val="12"/>
        <color indexed="8"/>
        <rFont val="Wingdings"/>
        <charset val="2"/>
      </rPr>
      <t>;</t>
    </r>
    <r>
      <rPr>
        <sz val="12"/>
        <color indexed="8"/>
        <rFont val="Times New Roman"/>
        <family val="1"/>
      </rPr>
      <t>AUTOVEICOLI CON PORTATA SUPERIORE A 30  q.li</t>
    </r>
  </si>
  <si>
    <r>
      <rPr>
        <sz val="12"/>
        <color indexed="8"/>
        <rFont val="Wingdings"/>
        <charset val="2"/>
      </rPr>
      <t>;</t>
    </r>
    <r>
      <rPr>
        <sz val="12"/>
        <color indexed="8"/>
        <rFont val="Times New Roman"/>
        <family val="1"/>
      </rPr>
      <t>RIMORCHI CON  PORTATA SUPERIORE A 30 q.li</t>
    </r>
  </si>
  <si>
    <r>
      <rPr>
        <sz val="12"/>
        <color indexed="8"/>
        <rFont val="Wingdings"/>
        <charset val="2"/>
      </rPr>
      <t>;</t>
    </r>
    <r>
      <rPr>
        <sz val="12"/>
        <color indexed="8"/>
        <rFont val="Times New Roman"/>
        <family val="1"/>
      </rPr>
      <t>AUTOVEICOLI CON PORTATA INFERIORE A 30 q.li</t>
    </r>
  </si>
  <si>
    <r>
      <rPr>
        <sz val="12"/>
        <color indexed="8"/>
        <rFont val="Wingdings"/>
        <charset val="2"/>
      </rPr>
      <t>;</t>
    </r>
    <r>
      <rPr>
        <sz val="12"/>
        <color indexed="8"/>
        <rFont val="Times New Roman"/>
        <family val="1"/>
      </rPr>
      <t>RIMORCHI CON PORTATA INFERIORE A 30 q.li</t>
    </r>
  </si>
  <si>
    <r>
      <rPr>
        <sz val="12"/>
        <color indexed="8"/>
        <rFont val="Wingdings"/>
        <charset val="2"/>
      </rPr>
      <t>;</t>
    </r>
    <r>
      <rPr>
        <sz val="12"/>
        <color indexed="8"/>
        <rFont val="Times New Roman"/>
        <family val="1"/>
      </rPr>
      <t>MOTOVEICOLI E VEICOLI  NON COMPRESI NELLE PRECEDENTI CATEGORIE</t>
    </r>
  </si>
  <si>
    <r>
      <rPr>
        <sz val="12"/>
        <color indexed="8"/>
        <rFont val="Times New Roman"/>
        <family val="1"/>
      </rPr>
      <t xml:space="preserve">ART. 14 – </t>
    </r>
    <r>
      <rPr>
        <u/>
        <sz val="12"/>
        <color indexed="8"/>
        <rFont val="Times New Roman"/>
        <family val="1"/>
      </rPr>
      <t>TARIFFA PER LA PUBBLICITA’ EFFETTUATA CON PANNELLI LUMINOSI</t>
    </r>
  </si>
  <si>
    <t xml:space="preserve">                  (per ogni metro quadrato di superficie dello schermo o pannello)</t>
  </si>
  <si>
    <t>1mese o frazione</t>
  </si>
  <si>
    <t>2mesi o frazione</t>
  </si>
  <si>
    <t>3 mesi o frazione</t>
  </si>
  <si>
    <t>1 ANNO</t>
  </si>
  <si>
    <t>Superfici fino a mq. 1</t>
  </si>
  <si>
    <r>
      <rPr>
        <sz val="12"/>
        <color indexed="8"/>
        <rFont val="Times New Roman"/>
        <family val="1"/>
      </rPr>
      <t xml:space="preserve">ART. 14 </t>
    </r>
    <r>
      <rPr>
        <u/>
        <sz val="12"/>
        <color indexed="8"/>
        <rFont val="Times New Roman"/>
        <family val="1"/>
      </rPr>
      <t>– TARIFFA PER LA PUBBLICITA’ EFFETTUATA ATTRAVERSO PROIEZIONI</t>
    </r>
    <r>
      <rPr>
        <sz val="12"/>
        <color indexed="8"/>
        <rFont val="Times New Roman"/>
        <family val="1"/>
      </rPr>
      <t xml:space="preserve"> </t>
    </r>
  </si>
  <si>
    <t xml:space="preserve">                (in luoghi pubblici o aperti al pubblico)</t>
  </si>
  <si>
    <t xml:space="preserve">               </t>
  </si>
  <si>
    <r>
      <rPr>
        <sz val="12"/>
        <color indexed="8"/>
        <rFont val="Wingdings"/>
        <charset val="2"/>
      </rPr>
      <t>;</t>
    </r>
    <r>
      <rPr>
        <sz val="12"/>
        <color indexed="8"/>
        <rFont val="Times New Roman"/>
        <family val="1"/>
      </rPr>
      <t>Per ogni giorno di esecuzione	-	categoria normale</t>
    </r>
  </si>
  <si>
    <r>
      <rPr>
        <sz val="12"/>
        <color indexed="8"/>
        <rFont val="Times New Roman"/>
        <family val="1"/>
      </rPr>
      <t xml:space="preserve">ART. 15 – </t>
    </r>
    <r>
      <rPr>
        <u/>
        <sz val="12"/>
        <color indexed="8"/>
        <rFont val="Times New Roman"/>
        <family val="1"/>
      </rPr>
      <t>TARIFFA PREVISTA PER OGNI MQ. PER LA PUBBLICITA’ EFFETTUATA CON STRISCIONI O ALTRI MEZZI SIMILARI CHE ATTRAVERSANO STRADE O PIAZZE</t>
    </r>
  </si>
  <si>
    <t>Fino a 15 gg</t>
  </si>
  <si>
    <t>Fino a 30 gg</t>
  </si>
  <si>
    <t>Fino a 45 gg</t>
  </si>
  <si>
    <t>Fino a 60gg</t>
  </si>
  <si>
    <t>Fino a mq. 1</t>
  </si>
  <si>
    <t xml:space="preserve"> ART. 15 </t>
  </si>
  <si>
    <r>
      <rPr>
        <u/>
        <sz val="12"/>
        <color indexed="8"/>
        <rFont val="Wingdings"/>
        <charset val="2"/>
      </rPr>
      <t>;</t>
    </r>
    <r>
      <rPr>
        <u/>
        <sz val="12"/>
        <color indexed="8"/>
        <rFont val="Times New Roman"/>
        <family val="1"/>
      </rPr>
      <t>PUBBLICITA’ EFFETTUATA CON AEROMOBILI MEDIANTE SCRITTE, STRISCIONI, LANCIO MANIFESTINI, ECC.</t>
    </r>
  </si>
  <si>
    <t>Tariffa al giorno</t>
  </si>
  <si>
    <r>
      <rPr>
        <u/>
        <sz val="12"/>
        <color indexed="8"/>
        <rFont val="Wingdings"/>
        <charset val="2"/>
      </rPr>
      <t>;</t>
    </r>
    <r>
      <rPr>
        <u/>
        <sz val="12"/>
        <color indexed="8"/>
        <rFont val="Times New Roman"/>
        <family val="1"/>
      </rPr>
      <t>PUBBLICITA’ ESEGUITA CON PALLONI FRENANTI E SIMILI</t>
    </r>
  </si>
  <si>
    <t>Tariffa al giorno</t>
  </si>
  <si>
    <r>
      <rPr>
        <u/>
        <sz val="12"/>
        <color indexed="8"/>
        <rFont val="Wingdings"/>
        <charset val="2"/>
      </rPr>
      <t>;</t>
    </r>
    <r>
      <rPr>
        <u/>
        <sz val="12"/>
        <color indexed="8"/>
        <rFont val="Times New Roman"/>
        <family val="1"/>
      </rPr>
      <t>PUBBLICITA’ EFFETTUATA MEDIANTE DISTRIBUZIONE, ANCHE CON VEICOLI DI MANIFESTINI OD ALTRO MATERIALE PUBBLICITARIO OPPURE MEDIANTE PERSONE CIRCOLANTI CON CARTELLI</t>
    </r>
  </si>
  <si>
    <t>Tariffa al giorno e per ogni persona impiegata</t>
  </si>
  <si>
    <r>
      <rPr>
        <u/>
        <sz val="12"/>
        <color indexed="8"/>
        <rFont val="Wingdings"/>
        <charset val="2"/>
      </rPr>
      <t>;</t>
    </r>
    <r>
      <rPr>
        <u/>
        <sz val="12"/>
        <color indexed="8"/>
        <rFont val="Times New Roman"/>
        <family val="1"/>
      </rPr>
      <t>PUBBLICITA’ EFFETTUATA A MEZZO APPARECCHI AMPLIFICATORI E SIMILI (sonora)</t>
    </r>
  </si>
  <si>
    <t>Tariffa al giorno e per ciascun punto di pubblicità</t>
  </si>
  <si>
    <t>Affissioni</t>
  </si>
  <si>
    <t>FOGLIO PRIMI 10 GG</t>
  </si>
  <si>
    <t>FOGLIO SUCC 10 GG</t>
  </si>
  <si>
    <t xml:space="preserve">FATTORE CONV. </t>
  </si>
  <si>
    <t>I</t>
  </si>
  <si>
    <t>II</t>
  </si>
  <si>
    <t>III</t>
  </si>
  <si>
    <t>IV</t>
  </si>
  <si>
    <t>V</t>
  </si>
  <si>
    <t>Ordinaria</t>
  </si>
  <si>
    <t>PRECEDENTE</t>
  </si>
  <si>
    <t>I</t>
  </si>
  <si>
    <t>II</t>
  </si>
  <si>
    <t>III</t>
  </si>
  <si>
    <t xml:space="preserve"> </t>
  </si>
  <si>
    <t>IV</t>
  </si>
  <si>
    <t>V</t>
  </si>
  <si>
    <r>
      <rPr>
        <sz val="12"/>
        <color indexed="8"/>
        <rFont val="Wingdings"/>
        <charset val="2"/>
      </rPr>
      <t>;</t>
    </r>
    <r>
      <rPr>
        <sz val="12"/>
        <color indexed="8"/>
        <rFont val="Times New Roman"/>
        <family val="1"/>
      </rPr>
      <t>AUTOVEICOLI CON PORTATA SUPERIORE A 30  q.li</t>
    </r>
  </si>
  <si>
    <r>
      <rPr>
        <sz val="12"/>
        <color indexed="8"/>
        <rFont val="Wingdings"/>
        <charset val="2"/>
      </rPr>
      <t>;</t>
    </r>
    <r>
      <rPr>
        <sz val="12"/>
        <color indexed="8"/>
        <rFont val="Times New Roman"/>
        <family val="1"/>
      </rPr>
      <t>RIMORCHI CON  PORTATA SUPERIORE A 30 q.li</t>
    </r>
  </si>
  <si>
    <r>
      <rPr>
        <sz val="12"/>
        <color indexed="8"/>
        <rFont val="Wingdings"/>
        <charset val="2"/>
      </rPr>
      <t>;</t>
    </r>
    <r>
      <rPr>
        <sz val="12"/>
        <color indexed="8"/>
        <rFont val="Times New Roman"/>
        <family val="1"/>
      </rPr>
      <t>AUTOVEICOLI CON PORTATA INFERIORE A 30 q.li</t>
    </r>
  </si>
  <si>
    <r>
      <rPr>
        <sz val="12"/>
        <color indexed="8"/>
        <rFont val="Wingdings"/>
        <charset val="2"/>
      </rPr>
      <t>;</t>
    </r>
    <r>
      <rPr>
        <sz val="12"/>
        <color indexed="8"/>
        <rFont val="Times New Roman"/>
        <family val="1"/>
      </rPr>
      <t>RIMORCHI CON PORTATA INFERIORE A 30 q.li</t>
    </r>
  </si>
  <si>
    <r>
      <rPr>
        <sz val="12"/>
        <color indexed="8"/>
        <rFont val="Wingdings"/>
        <charset val="2"/>
      </rPr>
      <t>;</t>
    </r>
    <r>
      <rPr>
        <sz val="12"/>
        <color indexed="8"/>
        <rFont val="Times New Roman"/>
        <family val="1"/>
      </rPr>
      <t>MOTOVEICOLI E VEICOLI  NON COMPRESI NELLE PRECEDENTI CATEGORIE</t>
    </r>
  </si>
  <si>
    <t>Pannelli Luminosi</t>
  </si>
  <si>
    <t>I</t>
  </si>
  <si>
    <t>II</t>
  </si>
  <si>
    <t>III</t>
  </si>
  <si>
    <t>IV</t>
  </si>
  <si>
    <t>V</t>
  </si>
  <si>
    <t>Proiezioni</t>
  </si>
  <si>
    <t>CAT. SPECIALE</t>
  </si>
  <si>
    <t>I</t>
  </si>
  <si>
    <t>II</t>
  </si>
  <si>
    <t>III</t>
  </si>
  <si>
    <t>IV</t>
  </si>
  <si>
    <t>V</t>
  </si>
  <si>
    <t>Art 15</t>
  </si>
  <si>
    <t>Striscioni</t>
  </si>
  <si>
    <t>Aeromobili</t>
  </si>
  <si>
    <t>Palloni</t>
  </si>
  <si>
    <t>Manifestini</t>
  </si>
  <si>
    <t>Amplificatori</t>
  </si>
  <si>
    <t>Manifestini-cat. Spec.</t>
  </si>
  <si>
    <t>Amplificatori-cat.spec.</t>
  </si>
  <si>
    <t>I</t>
  </si>
  <si>
    <t>II</t>
  </si>
  <si>
    <t>III</t>
  </si>
  <si>
    <t>IV</t>
  </si>
  <si>
    <t>V</t>
  </si>
  <si>
    <t>Manifesti di cm. 70 x  100</t>
  </si>
  <si>
    <t>Manifesti di cm. 100 x 140</t>
  </si>
  <si>
    <t>Manifesti di cm. 140 x 200</t>
  </si>
  <si>
    <t>Manifesti di m. 6 x 3</t>
  </si>
  <si>
    <t>ORDINARIA Superfici superiori a mq. 8,50</t>
  </si>
  <si>
    <t xml:space="preserve">ORDINARIA Superfici comprese tra mq. 5,50 e mq. 8,50 </t>
  </si>
  <si>
    <t>Aumento deliberato</t>
  </si>
  <si>
    <t>(superfici SUPERIORI al mq)</t>
  </si>
  <si>
    <t>Aumento per mq</t>
  </si>
  <si>
    <t>Aumento per luminosa</t>
  </si>
  <si>
    <t xml:space="preserve">LUMINOSA Superfici comprese tra mq. 5,50 e mq. 8,50 </t>
  </si>
  <si>
    <t>LUMINOSA Superfici superiori a mq. 8,50</t>
  </si>
  <si>
    <t>ex-LEGGE N. 449 DEL 27.12.97 ART. 11 COMMA 10</t>
  </si>
  <si>
    <t>ex-LEGGE N. 488 DEL 23.12.99 ART. 30 COMMA 17</t>
  </si>
  <si>
    <t>art. 1, comma 919 della L. 145/2018</t>
  </si>
  <si>
    <t>Comune  di Portoferraio</t>
  </si>
  <si>
    <t xml:space="preserve">N.B.: nel periodo dal 01-06  al   30-09  dovrà  essere applicata la maggiorazione del    50%                                                                                 
                                                                                                                                                                      per aumento stagionale esclusivamente sui  diritti per le pubbliche affissioni ed imposta sulla pubblicità temporanea.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</si>
</sst>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4" x14ac:knownFonts="1">
    <font>
      <sz val="10"/>
      <name val="Arial"/>
    </font>
    <font>
      <sz val="10"/>
      <name val="Arial"/>
    </font>
    <font>
      <u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2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Times New Roman"/>
      <family val="1"/>
    </font>
    <font>
      <u/>
      <sz val="12"/>
      <color indexed="8"/>
      <name val="Times New Roman"/>
      <family val="1"/>
    </font>
    <font>
      <sz val="8"/>
      <color indexed="8"/>
      <name val="Arial"/>
      <family val="2"/>
    </font>
    <font>
      <sz val="12"/>
      <color indexed="8"/>
      <name val="Wingdings"/>
      <charset val="2"/>
    </font>
    <font>
      <sz val="6"/>
      <color indexed="8"/>
      <name val="Arial"/>
      <family val="2"/>
    </font>
    <font>
      <sz val="10"/>
      <color indexed="8"/>
      <name val="Wingdings"/>
      <charset val="2"/>
    </font>
    <font>
      <sz val="10"/>
      <color indexed="8"/>
      <name val="Times New Roman"/>
      <family val="1"/>
    </font>
    <font>
      <b/>
      <u/>
      <sz val="6"/>
      <color indexed="8"/>
      <name val="Arial"/>
      <family val="2"/>
    </font>
    <font>
      <u/>
      <sz val="12"/>
      <color indexed="8"/>
      <name val="Wingdings"/>
      <charset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i/>
      <sz val="10"/>
      <color indexed="8"/>
      <name val="Arial"/>
      <family val="2"/>
    </font>
    <font>
      <sz val="8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0"/>
      <color rgb="FFC00000"/>
      <name val="Arial"/>
      <family val="2"/>
    </font>
    <font>
      <b/>
      <i/>
      <u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3">
    <xf numFmtId="0" fontId="0" fillId="0" borderId="0" xfId="0"/>
    <xf numFmtId="2" fontId="2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3" fillId="0" borderId="0" xfId="0" applyNumberFormat="1" applyFont="1"/>
    <xf numFmtId="2" fontId="5" fillId="0" borderId="0" xfId="0" applyNumberFormat="1" applyFont="1" applyAlignment="1">
      <alignment horizontal="left" vertical="center"/>
    </xf>
    <xf numFmtId="2" fontId="6" fillId="0" borderId="1" xfId="0" applyNumberFormat="1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left" vertical="center"/>
    </xf>
    <xf numFmtId="2" fontId="3" fillId="0" borderId="3" xfId="0" applyNumberFormat="1" applyFont="1" applyBorder="1" applyAlignment="1">
      <alignment horizontal="left" vertical="center"/>
    </xf>
    <xf numFmtId="2" fontId="9" fillId="0" borderId="4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2" fontId="6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 wrapText="1"/>
    </xf>
    <xf numFmtId="1" fontId="3" fillId="0" borderId="0" xfId="0" applyNumberFormat="1" applyFont="1" applyAlignment="1">
      <alignment horizontal="center" vertical="center"/>
    </xf>
    <xf numFmtId="2" fontId="3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11" fillId="0" borderId="0" xfId="0" applyNumberFormat="1" applyFont="1" applyAlignment="1">
      <alignment horizontal="left" vertical="center"/>
    </xf>
    <xf numFmtId="2" fontId="14" fillId="0" borderId="0" xfId="0" applyNumberFormat="1" applyFont="1" applyAlignment="1">
      <alignment horizontal="left" vertical="center"/>
    </xf>
    <xf numFmtId="2" fontId="16" fillId="0" borderId="4" xfId="0" applyNumberFormat="1" applyFont="1" applyBorder="1"/>
    <xf numFmtId="2" fontId="17" fillId="0" borderId="4" xfId="0" applyNumberFormat="1" applyFont="1" applyBorder="1"/>
    <xf numFmtId="2" fontId="16" fillId="0" borderId="0" xfId="0" applyNumberFormat="1" applyFont="1"/>
    <xf numFmtId="2" fontId="17" fillId="0" borderId="0" xfId="0" applyNumberFormat="1" applyFont="1"/>
    <xf numFmtId="0" fontId="17" fillId="0" borderId="0" xfId="0" applyFont="1"/>
    <xf numFmtId="2" fontId="17" fillId="0" borderId="4" xfId="0" applyNumberFormat="1" applyFont="1" applyBorder="1" applyAlignment="1">
      <alignment horizontal="left" vertical="center"/>
    </xf>
    <xf numFmtId="2" fontId="17" fillId="0" borderId="4" xfId="0" applyNumberFormat="1" applyFont="1" applyBorder="1" applyAlignment="1">
      <alignment horizontal="right" vertical="center"/>
    </xf>
    <xf numFmtId="2" fontId="17" fillId="0" borderId="0" xfId="0" applyNumberFormat="1" applyFont="1" applyAlignment="1">
      <alignment horizontal="left" vertical="center"/>
    </xf>
    <xf numFmtId="0" fontId="16" fillId="0" borderId="4" xfId="0" applyFont="1" applyBorder="1"/>
    <xf numFmtId="164" fontId="17" fillId="0" borderId="4" xfId="0" applyNumberFormat="1" applyFont="1" applyBorder="1"/>
    <xf numFmtId="164" fontId="17" fillId="0" borderId="0" xfId="0" applyNumberFormat="1" applyFont="1"/>
    <xf numFmtId="2" fontId="3" fillId="0" borderId="0" xfId="0" applyNumberFormat="1" applyFont="1" applyBorder="1" applyAlignment="1">
      <alignment horizontal="left" vertical="center"/>
    </xf>
    <xf numFmtId="2" fontId="0" fillId="0" borderId="0" xfId="0" applyNumberFormat="1"/>
    <xf numFmtId="2" fontId="3" fillId="0" borderId="3" xfId="0" applyNumberFormat="1" applyFont="1" applyBorder="1"/>
    <xf numFmtId="2" fontId="6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/>
    <xf numFmtId="2" fontId="3" fillId="0" borderId="5" xfId="0" applyNumberFormat="1" applyFont="1" applyBorder="1"/>
    <xf numFmtId="2" fontId="3" fillId="0" borderId="5" xfId="0" applyNumberFormat="1" applyFont="1" applyBorder="1" applyAlignment="1">
      <alignment horizontal="left" vertical="center"/>
    </xf>
    <xf numFmtId="2" fontId="3" fillId="0" borderId="6" xfId="0" applyNumberFormat="1" applyFont="1" applyBorder="1" applyAlignment="1">
      <alignment horizontal="left" vertical="center"/>
    </xf>
    <xf numFmtId="2" fontId="3" fillId="0" borderId="7" xfId="0" applyNumberFormat="1" applyFont="1" applyBorder="1" applyAlignment="1">
      <alignment horizontal="left" vertical="center"/>
    </xf>
    <xf numFmtId="2" fontId="3" fillId="0" borderId="8" xfId="0" applyNumberFormat="1" applyFont="1" applyBorder="1"/>
    <xf numFmtId="2" fontId="3" fillId="0" borderId="9" xfId="0" applyNumberFormat="1" applyFont="1" applyBorder="1"/>
    <xf numFmtId="2" fontId="3" fillId="0" borderId="9" xfId="0" applyNumberFormat="1" applyFont="1" applyBorder="1" applyAlignment="1">
      <alignment horizontal="left" vertical="center"/>
    </xf>
    <xf numFmtId="2" fontId="3" fillId="0" borderId="0" xfId="0" applyNumberFormat="1" applyFont="1" applyBorder="1" applyAlignment="1">
      <alignment horizontal="left" vertical="center" wrapText="1"/>
    </xf>
    <xf numFmtId="2" fontId="3" fillId="0" borderId="0" xfId="0" applyNumberFormat="1" applyFont="1" applyBorder="1"/>
    <xf numFmtId="2" fontId="3" fillId="0" borderId="0" xfId="0" applyNumberFormat="1" applyFont="1" applyBorder="1" applyAlignment="1">
      <alignment vertical="center"/>
    </xf>
    <xf numFmtId="2" fontId="0" fillId="0" borderId="0" xfId="0" applyNumberFormat="1" applyBorder="1"/>
    <xf numFmtId="2" fontId="3" fillId="0" borderId="3" xfId="0" applyNumberFormat="1" applyFont="1" applyBorder="1" applyAlignment="1">
      <alignment horizontal="right" vertical="center"/>
    </xf>
    <xf numFmtId="2" fontId="3" fillId="0" borderId="10" xfId="0" applyNumberFormat="1" applyFont="1" applyBorder="1" applyAlignment="1">
      <alignment horizontal="left" vertical="center"/>
    </xf>
    <xf numFmtId="2" fontId="7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vertical="center"/>
    </xf>
    <xf numFmtId="9" fontId="6" fillId="0" borderId="1" xfId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2" fontId="17" fillId="2" borderId="4" xfId="0" applyNumberFormat="1" applyFont="1" applyFill="1" applyBorder="1"/>
    <xf numFmtId="2" fontId="20" fillId="0" borderId="0" xfId="0" applyNumberFormat="1" applyFont="1" applyAlignment="1">
      <alignment horizontal="right" vertical="center"/>
    </xf>
    <xf numFmtId="2" fontId="20" fillId="0" borderId="0" xfId="0" applyNumberFormat="1" applyFont="1" applyAlignment="1">
      <alignment horizontal="left" vertical="center"/>
    </xf>
    <xf numFmtId="10" fontId="20" fillId="0" borderId="0" xfId="1" applyNumberFormat="1" applyFont="1" applyAlignment="1">
      <alignment horizontal="center" vertical="center"/>
    </xf>
    <xf numFmtId="2" fontId="18" fillId="0" borderId="0" xfId="0" applyNumberFormat="1" applyFont="1" applyAlignment="1">
      <alignment horizontal="left" vertical="center"/>
    </xf>
    <xf numFmtId="2" fontId="21" fillId="0" borderId="0" xfId="0" applyNumberFormat="1" applyFont="1" applyAlignment="1">
      <alignment horizontal="right" vertical="center"/>
    </xf>
    <xf numFmtId="2" fontId="21" fillId="0" borderId="0" xfId="0" applyNumberFormat="1" applyFont="1" applyAlignment="1">
      <alignment horizontal="left" vertical="center"/>
    </xf>
    <xf numFmtId="10" fontId="21" fillId="0" borderId="0" xfId="1" applyNumberFormat="1" applyFont="1" applyAlignment="1">
      <alignment horizontal="center" vertical="center"/>
    </xf>
    <xf numFmtId="2" fontId="3" fillId="0" borderId="11" xfId="0" applyNumberFormat="1" applyFont="1" applyBorder="1" applyAlignment="1">
      <alignment horizontal="left" vertical="center"/>
    </xf>
    <xf numFmtId="2" fontId="9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Border="1"/>
    <xf numFmtId="2" fontId="3" fillId="0" borderId="9" xfId="0" applyNumberFormat="1" applyFont="1" applyBorder="1" applyAlignment="1">
      <alignment horizontal="right" vertical="center"/>
    </xf>
    <xf numFmtId="10" fontId="3" fillId="0" borderId="9" xfId="0" applyNumberFormat="1" applyFont="1" applyBorder="1" applyAlignment="1">
      <alignment horizontal="right" vertical="center"/>
    </xf>
    <xf numFmtId="2" fontId="6" fillId="0" borderId="9" xfId="0" applyNumberFormat="1" applyFont="1" applyBorder="1" applyAlignment="1">
      <alignment horizontal="left" vertical="center"/>
    </xf>
    <xf numFmtId="2" fontId="6" fillId="0" borderId="9" xfId="0" applyNumberFormat="1" applyFont="1" applyBorder="1" applyAlignment="1">
      <alignment horizontal="right" vertical="center"/>
    </xf>
    <xf numFmtId="10" fontId="6" fillId="0" borderId="9" xfId="0" applyNumberFormat="1" applyFont="1" applyBorder="1" applyAlignment="1">
      <alignment horizontal="right" vertical="center"/>
    </xf>
    <xf numFmtId="2" fontId="3" fillId="0" borderId="14" xfId="0" applyNumberFormat="1" applyFont="1" applyBorder="1" applyAlignment="1">
      <alignment horizontal="left" vertical="center"/>
    </xf>
    <xf numFmtId="2" fontId="9" fillId="0" borderId="14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/>
    </xf>
    <xf numFmtId="10" fontId="3" fillId="0" borderId="14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left" vertical="center" wrapText="1"/>
    </xf>
    <xf numFmtId="2" fontId="3" fillId="0" borderId="16" xfId="0" applyNumberFormat="1" applyFont="1" applyBorder="1" applyAlignment="1">
      <alignment horizontal="left" vertical="center"/>
    </xf>
    <xf numFmtId="2" fontId="3" fillId="0" borderId="16" xfId="0" applyNumberFormat="1" applyFont="1" applyBorder="1" applyAlignment="1">
      <alignment horizontal="right" vertical="center"/>
    </xf>
    <xf numFmtId="10" fontId="3" fillId="0" borderId="16" xfId="0" applyNumberFormat="1" applyFont="1" applyBorder="1" applyAlignment="1">
      <alignment horizontal="right" vertical="center"/>
    </xf>
    <xf numFmtId="10" fontId="3" fillId="0" borderId="17" xfId="0" applyNumberFormat="1" applyFont="1" applyBorder="1" applyAlignment="1">
      <alignment horizontal="right" vertical="center"/>
    </xf>
    <xf numFmtId="2" fontId="6" fillId="0" borderId="18" xfId="0" applyNumberFormat="1" applyFont="1" applyBorder="1" applyAlignment="1">
      <alignment horizontal="left" vertical="center" wrapText="1"/>
    </xf>
    <xf numFmtId="10" fontId="6" fillId="0" borderId="19" xfId="0" applyNumberFormat="1" applyFont="1" applyBorder="1" applyAlignment="1">
      <alignment horizontal="right" vertical="center"/>
    </xf>
    <xf numFmtId="2" fontId="3" fillId="0" borderId="18" xfId="0" applyNumberFormat="1" applyFont="1" applyBorder="1" applyAlignment="1">
      <alignment horizontal="left" vertical="center" wrapText="1"/>
    </xf>
    <xf numFmtId="10" fontId="3" fillId="0" borderId="19" xfId="0" applyNumberFormat="1" applyFont="1" applyBorder="1" applyAlignment="1">
      <alignment horizontal="right" vertical="center"/>
    </xf>
    <xf numFmtId="2" fontId="3" fillId="0" borderId="20" xfId="0" applyNumberFormat="1" applyFont="1" applyBorder="1" applyAlignment="1">
      <alignment horizontal="left" vertical="center" wrapText="1"/>
    </xf>
    <xf numFmtId="2" fontId="3" fillId="0" borderId="21" xfId="0" applyNumberFormat="1" applyFont="1" applyBorder="1" applyAlignment="1">
      <alignment horizontal="left" vertical="center"/>
    </xf>
    <xf numFmtId="2" fontId="3" fillId="0" borderId="21" xfId="0" applyNumberFormat="1" applyFont="1" applyBorder="1" applyAlignment="1">
      <alignment horizontal="right" vertical="center"/>
    </xf>
    <xf numFmtId="10" fontId="3" fillId="0" borderId="21" xfId="0" applyNumberFormat="1" applyFont="1" applyBorder="1" applyAlignment="1">
      <alignment horizontal="right" vertical="center"/>
    </xf>
    <xf numFmtId="10" fontId="3" fillId="0" borderId="22" xfId="0" applyNumberFormat="1" applyFont="1" applyBorder="1" applyAlignment="1">
      <alignment horizontal="right" vertical="center"/>
    </xf>
    <xf numFmtId="2" fontId="3" fillId="0" borderId="23" xfId="0" applyNumberFormat="1" applyFont="1" applyBorder="1" applyAlignment="1">
      <alignment horizontal="left" vertical="center" wrapText="1"/>
    </xf>
    <xf numFmtId="2" fontId="3" fillId="0" borderId="24" xfId="0" applyNumberFormat="1" applyFont="1" applyBorder="1" applyAlignment="1">
      <alignment horizontal="left" vertical="center"/>
    </xf>
    <xf numFmtId="2" fontId="3" fillId="0" borderId="24" xfId="0" applyNumberFormat="1" applyFont="1" applyBorder="1" applyAlignment="1">
      <alignment horizontal="right" vertical="center"/>
    </xf>
    <xf numFmtId="10" fontId="3" fillId="0" borderId="24" xfId="0" applyNumberFormat="1" applyFont="1" applyBorder="1" applyAlignment="1">
      <alignment horizontal="right" vertical="center"/>
    </xf>
    <xf numFmtId="10" fontId="3" fillId="0" borderId="25" xfId="0" applyNumberFormat="1" applyFont="1" applyBorder="1" applyAlignment="1">
      <alignment horizontal="right" vertical="center"/>
    </xf>
    <xf numFmtId="2" fontId="6" fillId="3" borderId="9" xfId="0" applyNumberFormat="1" applyFont="1" applyFill="1" applyBorder="1" applyAlignment="1">
      <alignment horizontal="right" vertical="center"/>
    </xf>
    <xf numFmtId="2" fontId="3" fillId="0" borderId="26" xfId="0" applyNumberFormat="1" applyFont="1" applyBorder="1" applyAlignment="1">
      <alignment horizontal="left" vertical="center"/>
    </xf>
    <xf numFmtId="2" fontId="3" fillId="0" borderId="11" xfId="0" applyNumberFormat="1" applyFont="1" applyBorder="1" applyAlignment="1">
      <alignment horizontal="right" vertical="center"/>
    </xf>
    <xf numFmtId="2" fontId="3" fillId="0" borderId="27" xfId="0" applyNumberFormat="1" applyFont="1" applyBorder="1" applyAlignment="1">
      <alignment horizontal="right" vertical="center"/>
    </xf>
    <xf numFmtId="2" fontId="9" fillId="0" borderId="28" xfId="0" applyNumberFormat="1" applyFont="1" applyBorder="1" applyAlignment="1">
      <alignment horizontal="left" vertical="center"/>
    </xf>
    <xf numFmtId="2" fontId="9" fillId="0" borderId="29" xfId="0" applyNumberFormat="1" applyFont="1" applyBorder="1" applyAlignment="1">
      <alignment horizontal="left" vertical="center"/>
    </xf>
    <xf numFmtId="2" fontId="9" fillId="0" borderId="12" xfId="0" applyNumberFormat="1" applyFont="1" applyBorder="1" applyAlignment="1">
      <alignment horizontal="center" vertical="center"/>
    </xf>
    <xf numFmtId="10" fontId="9" fillId="0" borderId="30" xfId="0" applyNumberFormat="1" applyFont="1" applyBorder="1" applyAlignment="1">
      <alignment horizontal="center" vertical="center"/>
    </xf>
    <xf numFmtId="10" fontId="9" fillId="0" borderId="31" xfId="0" applyNumberFormat="1" applyFont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/>
    </xf>
    <xf numFmtId="2" fontId="9" fillId="0" borderId="29" xfId="0" applyNumberFormat="1" applyFont="1" applyBorder="1" applyAlignment="1">
      <alignment horizontal="center" vertical="center"/>
    </xf>
    <xf numFmtId="2" fontId="19" fillId="0" borderId="3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6" fillId="4" borderId="11" xfId="0" applyNumberFormat="1" applyFont="1" applyFill="1" applyBorder="1" applyAlignment="1">
      <alignment horizontal="right" vertical="center"/>
    </xf>
    <xf numFmtId="2" fontId="3" fillId="4" borderId="16" xfId="0" applyNumberFormat="1" applyFont="1" applyFill="1" applyBorder="1" applyAlignment="1">
      <alignment horizontal="right" vertical="center"/>
    </xf>
    <xf numFmtId="10" fontId="21" fillId="3" borderId="0" xfId="1" applyNumberFormat="1" applyFont="1" applyFill="1" applyAlignment="1">
      <alignment horizontal="center" vertical="center"/>
    </xf>
    <xf numFmtId="2" fontId="22" fillId="0" borderId="33" xfId="0" applyNumberFormat="1" applyFont="1" applyBorder="1" applyAlignment="1">
      <alignment horizontal="left" vertical="center" wrapText="1"/>
    </xf>
    <xf numFmtId="2" fontId="22" fillId="0" borderId="34" xfId="0" applyNumberFormat="1" applyFont="1" applyBorder="1" applyAlignment="1">
      <alignment horizontal="left" vertical="center"/>
    </xf>
    <xf numFmtId="2" fontId="22" fillId="0" borderId="34" xfId="0" applyNumberFormat="1" applyFont="1" applyBorder="1" applyAlignment="1">
      <alignment horizontal="right" vertical="center"/>
    </xf>
    <xf numFmtId="10" fontId="22" fillId="0" borderId="34" xfId="0" applyNumberFormat="1" applyFont="1" applyBorder="1" applyAlignment="1">
      <alignment horizontal="right" vertical="center"/>
    </xf>
    <xf numFmtId="10" fontId="22" fillId="0" borderId="35" xfId="0" applyNumberFormat="1" applyFont="1" applyBorder="1" applyAlignment="1">
      <alignment horizontal="right" vertical="center"/>
    </xf>
    <xf numFmtId="2" fontId="22" fillId="0" borderId="18" xfId="0" applyNumberFormat="1" applyFont="1" applyBorder="1" applyAlignment="1">
      <alignment horizontal="left" vertical="center" wrapText="1"/>
    </xf>
    <xf numFmtId="2" fontId="22" fillId="0" borderId="9" xfId="0" applyNumberFormat="1" applyFont="1" applyBorder="1" applyAlignment="1">
      <alignment horizontal="left" vertical="center"/>
    </xf>
    <xf numFmtId="2" fontId="22" fillId="0" borderId="9" xfId="0" applyNumberFormat="1" applyFont="1" applyBorder="1" applyAlignment="1">
      <alignment horizontal="right" vertical="center"/>
    </xf>
    <xf numFmtId="10" fontId="22" fillId="0" borderId="9" xfId="0" applyNumberFormat="1" applyFont="1" applyBorder="1" applyAlignment="1">
      <alignment horizontal="right" vertical="center"/>
    </xf>
    <xf numFmtId="10" fontId="22" fillId="0" borderId="19" xfId="0" applyNumberFormat="1" applyFont="1" applyBorder="1" applyAlignment="1">
      <alignment horizontal="right" vertical="center"/>
    </xf>
    <xf numFmtId="2" fontId="22" fillId="0" borderId="20" xfId="0" applyNumberFormat="1" applyFont="1" applyBorder="1" applyAlignment="1">
      <alignment horizontal="left" vertical="center" wrapText="1"/>
    </xf>
    <xf numFmtId="2" fontId="22" fillId="0" borderId="21" xfId="0" applyNumberFormat="1" applyFont="1" applyBorder="1" applyAlignment="1">
      <alignment horizontal="left" vertical="center"/>
    </xf>
    <xf numFmtId="2" fontId="22" fillId="0" borderId="21" xfId="0" applyNumberFormat="1" applyFont="1" applyBorder="1" applyAlignment="1">
      <alignment horizontal="right" vertical="center"/>
    </xf>
    <xf numFmtId="10" fontId="22" fillId="0" borderId="21" xfId="0" applyNumberFormat="1" applyFont="1" applyBorder="1" applyAlignment="1">
      <alignment horizontal="right" vertical="center"/>
    </xf>
    <xf numFmtId="10" fontId="22" fillId="0" borderId="22" xfId="0" applyNumberFormat="1" applyFont="1" applyBorder="1" applyAlignment="1">
      <alignment horizontal="right" vertical="center"/>
    </xf>
    <xf numFmtId="2" fontId="6" fillId="0" borderId="0" xfId="0" applyNumberFormat="1" applyFont="1" applyBorder="1" applyAlignment="1">
      <alignment horizontal="left" vertical="center"/>
    </xf>
    <xf numFmtId="9" fontId="6" fillId="0" borderId="0" xfId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left" vertical="center"/>
    </xf>
    <xf numFmtId="2" fontId="6" fillId="0" borderId="36" xfId="0" applyNumberFormat="1" applyFont="1" applyBorder="1" applyAlignment="1">
      <alignment horizontal="left" vertical="center"/>
    </xf>
    <xf numFmtId="2" fontId="0" fillId="0" borderId="36" xfId="0" applyNumberFormat="1" applyBorder="1"/>
    <xf numFmtId="2" fontId="3" fillId="0" borderId="36" xfId="0" applyNumberFormat="1" applyFont="1" applyBorder="1"/>
    <xf numFmtId="1" fontId="6" fillId="0" borderId="36" xfId="0" applyNumberFormat="1" applyFont="1" applyBorder="1" applyAlignment="1">
      <alignment horizontal="left" vertical="center"/>
    </xf>
    <xf numFmtId="2" fontId="6" fillId="3" borderId="4" xfId="0" applyNumberFormat="1" applyFont="1" applyFill="1" applyBorder="1" applyAlignment="1">
      <alignment horizontal="center" vertical="center"/>
    </xf>
    <xf numFmtId="2" fontId="3" fillId="0" borderId="38" xfId="0" applyNumberFormat="1" applyFont="1" applyBorder="1" applyAlignment="1">
      <alignment horizontal="left" vertical="center"/>
    </xf>
    <xf numFmtId="10" fontId="0" fillId="0" borderId="0" xfId="0" applyNumberFormat="1"/>
    <xf numFmtId="2" fontId="6" fillId="2" borderId="36" xfId="0" applyNumberFormat="1" applyFont="1" applyFill="1" applyBorder="1" applyAlignment="1">
      <alignment horizontal="left" vertical="center"/>
    </xf>
    <xf numFmtId="10" fontId="6" fillId="2" borderId="37" xfId="1" applyNumberFormat="1" applyFont="1" applyFill="1" applyBorder="1" applyAlignment="1">
      <alignment horizontal="center" vertical="center"/>
    </xf>
    <xf numFmtId="9" fontId="6" fillId="2" borderId="36" xfId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2" fontId="6" fillId="0" borderId="39" xfId="0" applyNumberFormat="1" applyFont="1" applyBorder="1" applyAlignment="1">
      <alignment horizontal="justify" vertical="center" wrapText="1"/>
    </xf>
    <xf numFmtId="2" fontId="6" fillId="0" borderId="37" xfId="0" applyNumberFormat="1" applyFont="1" applyBorder="1" applyAlignment="1">
      <alignment horizontal="justify" vertical="center" wrapText="1"/>
    </xf>
    <xf numFmtId="2" fontId="6" fillId="0" borderId="40" xfId="0" applyNumberFormat="1" applyFont="1" applyBorder="1" applyAlignment="1">
      <alignment horizontal="justify" vertical="center" wrapText="1"/>
    </xf>
    <xf numFmtId="2" fontId="6" fillId="0" borderId="41" xfId="0" applyNumberFormat="1" applyFont="1" applyBorder="1" applyAlignment="1">
      <alignment horizontal="justify" vertical="center" wrapText="1"/>
    </xf>
    <xf numFmtId="2" fontId="6" fillId="0" borderId="36" xfId="0" applyNumberFormat="1" applyFont="1" applyBorder="1" applyAlignment="1">
      <alignment horizontal="justify" vertical="center" wrapText="1"/>
    </xf>
    <xf numFmtId="2" fontId="6" fillId="0" borderId="42" xfId="0" applyNumberFormat="1" applyFont="1" applyBorder="1" applyAlignment="1">
      <alignment horizontal="justify" vertical="center" wrapText="1"/>
    </xf>
    <xf numFmtId="2" fontId="2" fillId="0" borderId="0" xfId="0" applyNumberFormat="1" applyFont="1" applyAlignment="1">
      <alignment horizontal="left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9" xfId="0" applyNumberFormat="1" applyFont="1" applyBorder="1" applyAlignment="1">
      <alignment horizontal="left" vertical="center" wrapText="1"/>
    </xf>
    <xf numFmtId="2" fontId="3" fillId="0" borderId="0" xfId="0" applyNumberFormat="1" applyFont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raim/Desktop/nuove%20tariffe/tariffe/IV%20cl/volter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MSUP20"/>
      <sheetName val="LEGGE"/>
    </sheetNames>
    <sheetDataSet>
      <sheetData sheetId="0"/>
      <sheetData sheetId="1">
        <row r="16">
          <cell r="A16" t="str">
            <v>;AUTOVEICOLI CON PORTATA SUPERIORE A 30  q.li</v>
          </cell>
          <cell r="B16">
            <v>74.369793468886058</v>
          </cell>
        </row>
        <row r="17">
          <cell r="A17" t="str">
            <v>;RIMORCHI CON  PORTATA SUPERIORE A 30 q.li</v>
          </cell>
          <cell r="B17">
            <v>74.369793468886058</v>
          </cell>
        </row>
        <row r="18">
          <cell r="A18" t="str">
            <v>;AUTOVEICOLI CON PORTATA INFERIORE A 30 q.li</v>
          </cell>
          <cell r="B18">
            <v>49.579862312590706</v>
          </cell>
        </row>
        <row r="19">
          <cell r="A19" t="str">
            <v>;RIMORCHI CON PORTATA INFERIORE A 30 q.li</v>
          </cell>
          <cell r="B19">
            <v>49.579862312590706</v>
          </cell>
        </row>
        <row r="20">
          <cell r="A20" t="str">
            <v>;MOTOVEICOLI E VEICOLI  NON COMPRESI NELLE PRECEDENTI CATEGORIE</v>
          </cell>
          <cell r="B20">
            <v>24.789931156295353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9"/>
  <sheetViews>
    <sheetView tabSelected="1" topLeftCell="A100" zoomScaleNormal="100" workbookViewId="0">
      <selection activeCell="G29" sqref="G29"/>
    </sheetView>
  </sheetViews>
  <sheetFormatPr defaultColWidth="11.42578125" defaultRowHeight="12.75" x14ac:dyDescent="0.2"/>
  <cols>
    <col min="1" max="1" width="29.7109375" style="33" customWidth="1"/>
    <col min="2" max="2" width="4.7109375" style="33" customWidth="1"/>
    <col min="3" max="3" width="11.140625" style="33" customWidth="1"/>
    <col min="4" max="4" width="14" style="33" customWidth="1"/>
    <col min="5" max="5" width="11.140625" style="33" customWidth="1"/>
    <col min="6" max="6" width="11.42578125" style="33" customWidth="1"/>
    <col min="7" max="7" width="16" style="33" customWidth="1"/>
    <col min="8" max="8" width="14" style="33" customWidth="1"/>
    <col min="9" max="16384" width="11.42578125" style="33"/>
  </cols>
  <sheetData>
    <row r="1" spans="1:7" x14ac:dyDescent="0.2">
      <c r="A1" s="139" t="s">
        <v>0</v>
      </c>
      <c r="B1" s="139"/>
      <c r="C1" s="139"/>
      <c r="D1" s="139"/>
      <c r="E1" s="139"/>
      <c r="F1" s="139"/>
      <c r="G1" s="139"/>
    </row>
    <row r="2" spans="1:7" x14ac:dyDescent="0.2">
      <c r="A2" s="139" t="s">
        <v>1</v>
      </c>
      <c r="B2" s="139"/>
      <c r="C2" s="139"/>
      <c r="D2" s="139"/>
      <c r="E2" s="139"/>
      <c r="F2" s="139"/>
      <c r="G2" s="139"/>
    </row>
    <row r="3" spans="1:7" ht="15" x14ac:dyDescent="0.2">
      <c r="A3" s="142" t="s">
        <v>132</v>
      </c>
      <c r="B3" s="142"/>
      <c r="C3" s="142"/>
      <c r="D3" s="142"/>
      <c r="E3" s="142"/>
      <c r="F3" s="142"/>
      <c r="G3" s="142"/>
    </row>
    <row r="4" spans="1:7" x14ac:dyDescent="0.2">
      <c r="A4" s="139" t="s">
        <v>130</v>
      </c>
      <c r="B4" s="139"/>
      <c r="C4" s="139"/>
      <c r="D4" s="139"/>
      <c r="E4" s="139"/>
      <c r="F4" s="139"/>
      <c r="G4" s="139"/>
    </row>
    <row r="5" spans="1:7" ht="12" customHeight="1" x14ac:dyDescent="0.2">
      <c r="A5" s="140" t="s">
        <v>131</v>
      </c>
      <c r="B5" s="140"/>
      <c r="C5" s="140"/>
      <c r="D5" s="140"/>
      <c r="E5" s="140"/>
      <c r="F5" s="140"/>
      <c r="G5" s="140"/>
    </row>
    <row r="6" spans="1:7" ht="26.25" x14ac:dyDescent="0.2">
      <c r="A6" s="141" t="s">
        <v>4</v>
      </c>
      <c r="B6" s="141"/>
      <c r="C6" s="141"/>
      <c r="D6" s="141"/>
      <c r="E6" s="141"/>
      <c r="F6" s="141"/>
      <c r="G6" s="141"/>
    </row>
    <row r="7" spans="1:7" x14ac:dyDescent="0.2">
      <c r="A7" s="2"/>
      <c r="B7" s="4"/>
      <c r="C7" s="2"/>
      <c r="D7" s="2"/>
      <c r="E7" s="2"/>
      <c r="F7" s="2"/>
      <c r="G7" s="2"/>
    </row>
    <row r="8" spans="1:7" x14ac:dyDescent="0.2">
      <c r="A8" s="129" t="s">
        <v>133</v>
      </c>
      <c r="B8" s="136" t="s">
        <v>77</v>
      </c>
      <c r="C8" s="130"/>
      <c r="D8" s="131"/>
      <c r="E8" s="129" t="s">
        <v>5</v>
      </c>
      <c r="F8" s="138"/>
      <c r="G8" s="132"/>
    </row>
    <row r="9" spans="1:7" x14ac:dyDescent="0.2">
      <c r="A9" s="61" t="s">
        <v>124</v>
      </c>
      <c r="B9" s="126"/>
      <c r="C9" s="137">
        <v>0.5</v>
      </c>
      <c r="D9" s="45"/>
      <c r="E9" s="126"/>
      <c r="F9" s="127"/>
      <c r="G9" s="128"/>
    </row>
    <row r="10" spans="1:7" x14ac:dyDescent="0.2">
      <c r="B10" s="2"/>
      <c r="C10" s="2"/>
      <c r="D10" s="2"/>
      <c r="E10" s="2"/>
      <c r="F10" s="2"/>
      <c r="G10" s="2"/>
    </row>
    <row r="11" spans="1:7" ht="15.75" x14ac:dyDescent="0.2">
      <c r="A11" s="2" t="s">
        <v>6</v>
      </c>
      <c r="B11" s="2"/>
      <c r="C11" s="2"/>
      <c r="D11" s="2"/>
      <c r="E11" s="2"/>
      <c r="F11" s="2"/>
      <c r="G11" s="2"/>
    </row>
    <row r="12" spans="1:7" x14ac:dyDescent="0.2">
      <c r="A12" s="2"/>
      <c r="B12" s="2"/>
      <c r="C12" s="2"/>
      <c r="D12" s="2"/>
      <c r="E12" s="2"/>
      <c r="F12" s="2"/>
      <c r="G12" s="2"/>
    </row>
    <row r="13" spans="1:7" ht="33.75" x14ac:dyDescent="0.2">
      <c r="A13" s="6"/>
      <c r="B13" s="7"/>
      <c r="C13" s="34"/>
      <c r="D13" s="34"/>
      <c r="E13" s="7"/>
      <c r="F13" s="8" t="s">
        <v>7</v>
      </c>
      <c r="G13" s="8" t="s">
        <v>8</v>
      </c>
    </row>
    <row r="14" spans="1:7" x14ac:dyDescent="0.2">
      <c r="A14" s="6" t="s">
        <v>9</v>
      </c>
      <c r="B14" s="7"/>
      <c r="C14" s="34"/>
      <c r="D14" s="34"/>
      <c r="E14" s="7"/>
      <c r="F14" s="133">
        <f>VLOOKUP($B$8,LEGGE!$A$2:$C$6,2)</f>
        <v>1.1362051779968703</v>
      </c>
      <c r="G14" s="35">
        <f>F14*(1+$C$9)</f>
        <v>1.7043077669953055</v>
      </c>
    </row>
    <row r="15" spans="1:7" ht="38.25" x14ac:dyDescent="0.2">
      <c r="A15" s="9" t="s">
        <v>10</v>
      </c>
      <c r="B15" s="7"/>
      <c r="C15" s="34"/>
      <c r="D15" s="34"/>
      <c r="E15" s="7"/>
      <c r="F15" s="133">
        <f>VLOOKUP($B$8,LEGGE!$A$2:$C$6,3)</f>
        <v>0.3408615533990611</v>
      </c>
      <c r="G15" s="35">
        <f>F15*(1+$C$9)</f>
        <v>0.51129233009859165</v>
      </c>
    </row>
    <row r="16" spans="1:7" x14ac:dyDescent="0.2">
      <c r="A16" s="10"/>
      <c r="B16" s="10"/>
      <c r="C16" s="2"/>
      <c r="D16" s="2"/>
      <c r="E16" s="2"/>
      <c r="F16" s="2"/>
      <c r="G16" s="2"/>
    </row>
    <row r="17" spans="1:7" x14ac:dyDescent="0.2">
      <c r="A17" s="2" t="s">
        <v>118</v>
      </c>
      <c r="B17" s="11" t="s">
        <v>11</v>
      </c>
      <c r="C17" s="12"/>
      <c r="D17" s="13">
        <v>1</v>
      </c>
      <c r="E17" s="3"/>
      <c r="F17" s="3"/>
      <c r="G17" s="3"/>
    </row>
    <row r="18" spans="1:7" x14ac:dyDescent="0.2">
      <c r="A18" s="2" t="s">
        <v>119</v>
      </c>
      <c r="B18" s="11" t="s">
        <v>12</v>
      </c>
      <c r="C18" s="11"/>
      <c r="D18" s="13">
        <v>2</v>
      </c>
      <c r="E18" s="3"/>
      <c r="F18" s="3"/>
      <c r="G18" s="3"/>
    </row>
    <row r="19" spans="1:7" x14ac:dyDescent="0.2">
      <c r="A19" s="2" t="s">
        <v>120</v>
      </c>
      <c r="B19" s="11" t="s">
        <v>13</v>
      </c>
      <c r="C19" s="11"/>
      <c r="D19" s="13">
        <v>4</v>
      </c>
      <c r="E19" s="3"/>
      <c r="F19" s="3"/>
      <c r="G19" s="3"/>
    </row>
    <row r="20" spans="1:7" x14ac:dyDescent="0.2">
      <c r="A20" s="2" t="s">
        <v>121</v>
      </c>
      <c r="B20" s="11" t="s">
        <v>14</v>
      </c>
      <c r="C20" s="11"/>
      <c r="D20" s="13">
        <v>24</v>
      </c>
      <c r="E20" s="3"/>
      <c r="F20" s="3"/>
      <c r="G20" s="3"/>
    </row>
    <row r="21" spans="1:7" x14ac:dyDescent="0.2">
      <c r="A21" s="2"/>
      <c r="B21" s="2"/>
      <c r="C21" s="2"/>
      <c r="D21" s="2"/>
      <c r="E21" s="2"/>
      <c r="F21" s="2"/>
      <c r="G21" s="2"/>
    </row>
    <row r="22" spans="1:7" x14ac:dyDescent="0.2">
      <c r="A22" s="2"/>
      <c r="B22" s="2"/>
      <c r="C22" s="2"/>
      <c r="D22" s="2"/>
      <c r="E22" s="2"/>
      <c r="F22" s="2"/>
      <c r="G22" s="2"/>
    </row>
    <row r="23" spans="1:7" x14ac:dyDescent="0.2">
      <c r="A23" s="14" t="s">
        <v>15</v>
      </c>
      <c r="B23" s="15"/>
      <c r="C23" s="16">
        <v>10</v>
      </c>
      <c r="D23" s="16">
        <v>15</v>
      </c>
      <c r="E23" s="16">
        <v>20</v>
      </c>
      <c r="F23" s="16">
        <v>25</v>
      </c>
      <c r="G23" s="16">
        <v>30</v>
      </c>
    </row>
    <row r="24" spans="1:7" x14ac:dyDescent="0.2">
      <c r="A24" s="2"/>
      <c r="B24" s="2"/>
      <c r="C24" s="2"/>
      <c r="D24" s="2"/>
      <c r="E24" s="2"/>
      <c r="F24" s="2"/>
      <c r="G24" s="2"/>
    </row>
    <row r="25" spans="1:7" x14ac:dyDescent="0.2">
      <c r="A25" s="6" t="s">
        <v>16</v>
      </c>
      <c r="B25" s="7"/>
      <c r="C25" s="18">
        <f>$F$14</f>
        <v>1.1362051779968703</v>
      </c>
      <c r="D25" s="18">
        <f>C25+$F$15</f>
        <v>1.4770667313959314</v>
      </c>
      <c r="E25" s="18">
        <f>D25+$F$15</f>
        <v>1.8179282847949925</v>
      </c>
      <c r="F25" s="18">
        <f>E25+$F$15</f>
        <v>2.1587898381940533</v>
      </c>
      <c r="G25" s="18">
        <f>F25+$F$15</f>
        <v>2.4996513915931144</v>
      </c>
    </row>
    <row r="26" spans="1:7" x14ac:dyDescent="0.2">
      <c r="A26" s="6" t="s">
        <v>17</v>
      </c>
      <c r="B26" s="7"/>
      <c r="C26" s="18">
        <f>$G$14</f>
        <v>1.7043077669953055</v>
      </c>
      <c r="D26" s="18">
        <f>C26+$G$15</f>
        <v>2.2156000970938972</v>
      </c>
      <c r="E26" s="18">
        <f>D26+$G$15</f>
        <v>2.7268924271924888</v>
      </c>
      <c r="F26" s="18">
        <f>E26+$G$15</f>
        <v>3.2381847572910805</v>
      </c>
      <c r="G26" s="18">
        <f>F26+$G$15</f>
        <v>3.7494770873896721</v>
      </c>
    </row>
    <row r="27" spans="1:7" x14ac:dyDescent="0.2">
      <c r="A27" s="2"/>
      <c r="B27" s="2"/>
      <c r="C27" s="2"/>
      <c r="D27" s="2"/>
      <c r="E27" s="2"/>
      <c r="F27" s="2"/>
      <c r="G27" s="2"/>
    </row>
    <row r="28" spans="1:7" x14ac:dyDescent="0.2">
      <c r="A28" s="2" t="s">
        <v>18</v>
      </c>
      <c r="B28" s="2"/>
      <c r="C28" s="2"/>
      <c r="D28" s="2"/>
      <c r="E28" s="2"/>
      <c r="F28" s="2"/>
      <c r="G28" s="2"/>
    </row>
    <row r="29" spans="1:7" ht="15.75" x14ac:dyDescent="0.2">
      <c r="A29" s="2" t="s">
        <v>19</v>
      </c>
      <c r="B29" s="2"/>
      <c r="C29" s="2"/>
      <c r="D29" s="2"/>
      <c r="E29" s="2"/>
      <c r="F29" s="2"/>
      <c r="G29" s="2"/>
    </row>
    <row r="30" spans="1:7" ht="15.75" x14ac:dyDescent="0.2">
      <c r="A30" s="2" t="s">
        <v>20</v>
      </c>
      <c r="B30" s="2"/>
      <c r="C30" s="2"/>
      <c r="D30" s="2"/>
      <c r="E30" s="2"/>
      <c r="F30" s="2"/>
      <c r="G30" s="2"/>
    </row>
    <row r="31" spans="1:7" ht="15.75" x14ac:dyDescent="0.2">
      <c r="A31" s="2" t="s">
        <v>21</v>
      </c>
      <c r="B31" s="2"/>
      <c r="C31" s="2"/>
      <c r="D31" s="2"/>
      <c r="E31" s="2"/>
      <c r="F31" s="2"/>
      <c r="G31" s="2"/>
    </row>
    <row r="32" spans="1:7" x14ac:dyDescent="0.2">
      <c r="A32" s="2"/>
      <c r="B32" s="2"/>
      <c r="C32" s="2"/>
      <c r="D32" s="2"/>
      <c r="E32" s="2"/>
      <c r="F32" s="2"/>
      <c r="G32" s="2"/>
    </row>
    <row r="33" spans="1:7" x14ac:dyDescent="0.2">
      <c r="A33" s="2"/>
      <c r="B33" s="2"/>
      <c r="C33" s="2"/>
      <c r="D33" s="2"/>
      <c r="E33" s="2"/>
      <c r="F33" s="2"/>
      <c r="G33" s="2"/>
    </row>
    <row r="34" spans="1:7" x14ac:dyDescent="0.2">
      <c r="A34" s="2" t="s">
        <v>22</v>
      </c>
      <c r="B34" s="2"/>
      <c r="C34" s="3"/>
      <c r="D34" s="2">
        <v>25.82</v>
      </c>
      <c r="E34" s="3"/>
      <c r="F34" s="2"/>
      <c r="G34" s="2"/>
    </row>
    <row r="35" spans="1:7" x14ac:dyDescent="0.2">
      <c r="A35" s="2"/>
      <c r="B35" s="2"/>
      <c r="C35" s="3"/>
      <c r="D35" s="2"/>
      <c r="E35" s="3"/>
      <c r="F35" s="2"/>
      <c r="G35" s="2"/>
    </row>
    <row r="36" spans="1:7" x14ac:dyDescent="0.2">
      <c r="A36" s="2"/>
      <c r="B36" s="2"/>
      <c r="C36" s="3"/>
      <c r="D36" s="2"/>
      <c r="E36" s="3"/>
      <c r="F36" s="2"/>
      <c r="G36" s="2"/>
    </row>
    <row r="37" spans="1:7" ht="57" customHeight="1" x14ac:dyDescent="0.2">
      <c r="A37" s="143" t="s">
        <v>134</v>
      </c>
      <c r="B37" s="144"/>
      <c r="C37" s="144"/>
      <c r="D37" s="144"/>
      <c r="E37" s="144"/>
      <c r="F37" s="144"/>
      <c r="G37" s="145"/>
    </row>
    <row r="38" spans="1:7" x14ac:dyDescent="0.2">
      <c r="A38" s="146"/>
      <c r="B38" s="147"/>
      <c r="C38" s="147"/>
      <c r="D38" s="147"/>
      <c r="E38" s="147"/>
      <c r="F38" s="147"/>
      <c r="G38" s="148"/>
    </row>
    <row r="39" spans="1:7" x14ac:dyDescent="0.2">
      <c r="A39" s="2"/>
      <c r="B39" s="2"/>
      <c r="C39" s="3"/>
      <c r="D39" s="2"/>
      <c r="E39" s="3"/>
      <c r="F39" s="2"/>
      <c r="G39" s="2"/>
    </row>
    <row r="40" spans="1:7" x14ac:dyDescent="0.2">
      <c r="A40" s="2"/>
      <c r="B40" s="2"/>
      <c r="C40" s="3"/>
      <c r="D40" s="2"/>
      <c r="E40" s="3"/>
      <c r="F40" s="2"/>
      <c r="G40" s="2"/>
    </row>
    <row r="41" spans="1:7" x14ac:dyDescent="0.2">
      <c r="A41" s="2"/>
      <c r="B41" s="2"/>
      <c r="C41" s="3"/>
      <c r="D41" s="2"/>
      <c r="E41" s="3"/>
      <c r="F41" s="2"/>
      <c r="G41" s="2"/>
    </row>
    <row r="42" spans="1:7" x14ac:dyDescent="0.2">
      <c r="A42" s="139" t="s">
        <v>0</v>
      </c>
      <c r="B42" s="139"/>
      <c r="C42" s="139"/>
      <c r="D42" s="139"/>
      <c r="E42" s="139"/>
      <c r="F42" s="139"/>
      <c r="G42" s="139"/>
    </row>
    <row r="43" spans="1:7" x14ac:dyDescent="0.2">
      <c r="A43" s="139" t="s">
        <v>1</v>
      </c>
      <c r="B43" s="139"/>
      <c r="C43" s="139"/>
      <c r="D43" s="139"/>
      <c r="E43" s="139"/>
      <c r="F43" s="139"/>
      <c r="G43" s="139"/>
    </row>
    <row r="44" spans="1:7" x14ac:dyDescent="0.2">
      <c r="A44" s="3"/>
      <c r="B44" s="1"/>
      <c r="C44" s="2"/>
      <c r="D44" s="2"/>
      <c r="E44" s="2"/>
      <c r="F44" s="2"/>
      <c r="G44" s="2"/>
    </row>
    <row r="45" spans="1:7" x14ac:dyDescent="0.2">
      <c r="A45" s="139" t="s">
        <v>2</v>
      </c>
      <c r="B45" s="139"/>
      <c r="C45" s="139"/>
      <c r="D45" s="139"/>
      <c r="E45" s="139"/>
      <c r="F45" s="139"/>
      <c r="G45" s="139"/>
    </row>
    <row r="46" spans="1:7" x14ac:dyDescent="0.2">
      <c r="A46" s="140" t="s">
        <v>3</v>
      </c>
      <c r="B46" s="140"/>
      <c r="C46" s="140"/>
      <c r="D46" s="140"/>
      <c r="E46" s="140"/>
      <c r="F46" s="140"/>
      <c r="G46" s="140"/>
    </row>
    <row r="47" spans="1:7" x14ac:dyDescent="0.2">
      <c r="A47" s="1"/>
      <c r="B47" s="1"/>
      <c r="C47" s="2"/>
      <c r="D47" s="2"/>
      <c r="E47" s="2"/>
      <c r="F47" s="2"/>
      <c r="G47" s="2"/>
    </row>
    <row r="48" spans="1:7" x14ac:dyDescent="0.2">
      <c r="A48" s="17" t="str">
        <f>A8</f>
        <v>Comune  di Portoferraio</v>
      </c>
      <c r="B48" s="17" t="s">
        <v>77</v>
      </c>
      <c r="D48" s="3"/>
      <c r="E48" s="5" t="s">
        <v>5</v>
      </c>
      <c r="F48" s="54">
        <f>F8</f>
        <v>0</v>
      </c>
      <c r="G48" s="55"/>
    </row>
    <row r="49" spans="1:8" x14ac:dyDescent="0.2">
      <c r="A49" s="61" t="s">
        <v>124</v>
      </c>
      <c r="B49" s="62"/>
      <c r="C49" s="110">
        <v>0.3</v>
      </c>
      <c r="D49" s="60" t="s">
        <v>125</v>
      </c>
      <c r="E49" s="2"/>
      <c r="F49" s="2"/>
      <c r="G49" s="2"/>
    </row>
    <row r="50" spans="1:8" x14ac:dyDescent="0.2">
      <c r="A50" s="61" t="s">
        <v>127</v>
      </c>
      <c r="B50" s="62"/>
      <c r="C50" s="63">
        <v>1</v>
      </c>
      <c r="D50" s="60"/>
      <c r="E50" s="2"/>
      <c r="F50" s="2"/>
      <c r="G50" s="2"/>
    </row>
    <row r="51" spans="1:8" x14ac:dyDescent="0.2">
      <c r="A51" s="57"/>
      <c r="B51" s="58"/>
      <c r="C51" s="59"/>
      <c r="D51" s="60"/>
      <c r="E51" s="2"/>
      <c r="F51" s="2"/>
      <c r="G51" s="2"/>
    </row>
    <row r="52" spans="1:8" ht="15.75" x14ac:dyDescent="0.2">
      <c r="A52" s="2" t="s">
        <v>23</v>
      </c>
      <c r="B52" s="2"/>
      <c r="C52" s="2"/>
      <c r="D52" s="2"/>
      <c r="E52" s="2"/>
      <c r="F52" s="2"/>
      <c r="G52" s="2"/>
    </row>
    <row r="53" spans="1:8" x14ac:dyDescent="0.2">
      <c r="A53" s="2"/>
      <c r="B53" s="2"/>
      <c r="C53" s="2"/>
      <c r="D53" s="2"/>
      <c r="E53" s="2"/>
      <c r="F53" s="2"/>
      <c r="G53" s="2"/>
    </row>
    <row r="54" spans="1:8" ht="23.25" thickBot="1" x14ac:dyDescent="0.25">
      <c r="A54" s="72" t="s">
        <v>24</v>
      </c>
      <c r="B54" s="72"/>
      <c r="C54" s="73" t="s">
        <v>25</v>
      </c>
      <c r="D54" s="73" t="s">
        <v>26</v>
      </c>
      <c r="E54" s="73" t="s">
        <v>27</v>
      </c>
      <c r="F54" s="74" t="s">
        <v>28</v>
      </c>
      <c r="G54" s="73" t="s">
        <v>126</v>
      </c>
      <c r="H54" s="75"/>
    </row>
    <row r="55" spans="1:8" ht="26.85" customHeight="1" x14ac:dyDescent="0.2">
      <c r="A55" s="76" t="s">
        <v>29</v>
      </c>
      <c r="B55" s="77"/>
      <c r="C55" s="78">
        <f t="shared" ref="C55:C62" si="0">F55/10</f>
        <v>1.3427879376326648</v>
      </c>
      <c r="D55" s="78">
        <f t="shared" ref="D55:D62" si="1">C55*2</f>
        <v>2.6855758752653296</v>
      </c>
      <c r="E55" s="78">
        <f t="shared" ref="E55:E62" si="2">C55*3</f>
        <v>4.0283638128979948</v>
      </c>
      <c r="F55" s="109">
        <f>VLOOKUP($B$48,LEGGE!$A$9:$B$13,2,0)</f>
        <v>13.427879376326649</v>
      </c>
      <c r="G55" s="79"/>
      <c r="H55" s="80"/>
    </row>
    <row r="56" spans="1:8" ht="25.5" x14ac:dyDescent="0.2">
      <c r="A56" s="81" t="s">
        <v>30</v>
      </c>
      <c r="B56" s="69"/>
      <c r="C56" s="70">
        <f t="shared" si="0"/>
        <v>1.7456243189224643</v>
      </c>
      <c r="D56" s="70">
        <f t="shared" si="1"/>
        <v>3.4912486378449286</v>
      </c>
      <c r="E56" s="70">
        <f t="shared" si="2"/>
        <v>5.2368729567673924</v>
      </c>
      <c r="F56" s="95">
        <f>F55*(1+$C$49)</f>
        <v>17.456243189224644</v>
      </c>
      <c r="G56" s="71"/>
      <c r="H56" s="82"/>
    </row>
    <row r="57" spans="1:8" ht="23.25" customHeight="1" x14ac:dyDescent="0.2">
      <c r="A57" s="83" t="s">
        <v>123</v>
      </c>
      <c r="B57" s="43"/>
      <c r="C57" s="67">
        <f t="shared" si="0"/>
        <v>2.6184364783836966</v>
      </c>
      <c r="D57" s="67">
        <f t="shared" si="1"/>
        <v>5.2368729567673933</v>
      </c>
      <c r="E57" s="67">
        <f t="shared" si="2"/>
        <v>7.8553094351510904</v>
      </c>
      <c r="F57" s="67">
        <f>F56*(1+$G$57)</f>
        <v>26.184364783836966</v>
      </c>
      <c r="G57" s="68">
        <v>0.5</v>
      </c>
      <c r="H57" s="84"/>
    </row>
    <row r="58" spans="1:8" ht="25.5" customHeight="1" thickBot="1" x14ac:dyDescent="0.25">
      <c r="A58" s="90" t="s">
        <v>122</v>
      </c>
      <c r="B58" s="91"/>
      <c r="C58" s="92">
        <f t="shared" si="0"/>
        <v>3.4912486378449286</v>
      </c>
      <c r="D58" s="92">
        <f t="shared" si="1"/>
        <v>6.9824972756898571</v>
      </c>
      <c r="E58" s="92">
        <f t="shared" si="2"/>
        <v>10.473745913534785</v>
      </c>
      <c r="F58" s="92">
        <f>F56*(1+$G58)</f>
        <v>34.912486378449287</v>
      </c>
      <c r="G58" s="93">
        <v>1</v>
      </c>
      <c r="H58" s="94"/>
    </row>
    <row r="59" spans="1:8" ht="23.85" customHeight="1" thickTop="1" x14ac:dyDescent="0.2">
      <c r="A59" s="111" t="s">
        <v>31</v>
      </c>
      <c r="B59" s="112"/>
      <c r="C59" s="113">
        <f t="shared" si="0"/>
        <v>2.6855758752653296</v>
      </c>
      <c r="D59" s="113">
        <f t="shared" si="1"/>
        <v>5.3711517505306592</v>
      </c>
      <c r="E59" s="113">
        <f t="shared" si="2"/>
        <v>8.0567276257959897</v>
      </c>
      <c r="F59" s="113">
        <f>F55*(1+$C$50)</f>
        <v>26.855758752653298</v>
      </c>
      <c r="G59" s="114"/>
      <c r="H59" s="115"/>
    </row>
    <row r="60" spans="1:8" ht="25.5" x14ac:dyDescent="0.2">
      <c r="A60" s="116" t="s">
        <v>32</v>
      </c>
      <c r="B60" s="117"/>
      <c r="C60" s="118">
        <f t="shared" si="0"/>
        <v>3.4912486378449286</v>
      </c>
      <c r="D60" s="118">
        <f t="shared" si="1"/>
        <v>6.9824972756898571</v>
      </c>
      <c r="E60" s="118">
        <f t="shared" si="2"/>
        <v>10.473745913534785</v>
      </c>
      <c r="F60" s="118">
        <f>F56*(1+$C$50)</f>
        <v>34.912486378449287</v>
      </c>
      <c r="G60" s="119"/>
      <c r="H60" s="120"/>
    </row>
    <row r="61" spans="1:8" ht="22.5" customHeight="1" x14ac:dyDescent="0.2">
      <c r="A61" s="116" t="s">
        <v>128</v>
      </c>
      <c r="B61" s="117"/>
      <c r="C61" s="118">
        <f t="shared" si="0"/>
        <v>4.3640607973061609</v>
      </c>
      <c r="D61" s="118">
        <f t="shared" si="1"/>
        <v>8.7281215946123218</v>
      </c>
      <c r="E61" s="118">
        <f t="shared" si="2"/>
        <v>13.092182391918483</v>
      </c>
      <c r="F61" s="118">
        <f>F60+F56/2</f>
        <v>43.640607973061606</v>
      </c>
      <c r="G61" s="119"/>
      <c r="H61" s="120"/>
    </row>
    <row r="62" spans="1:8" ht="24.75" customHeight="1" thickBot="1" x14ac:dyDescent="0.25">
      <c r="A62" s="121" t="s">
        <v>129</v>
      </c>
      <c r="B62" s="122"/>
      <c r="C62" s="123">
        <f t="shared" si="0"/>
        <v>5.2368729567673933</v>
      </c>
      <c r="D62" s="123">
        <f t="shared" si="1"/>
        <v>10.473745913534787</v>
      </c>
      <c r="E62" s="123">
        <f t="shared" si="2"/>
        <v>15.710618870302181</v>
      </c>
      <c r="F62" s="123">
        <f>F60+F56</f>
        <v>52.368729567673931</v>
      </c>
      <c r="G62" s="124"/>
      <c r="H62" s="125"/>
    </row>
    <row r="63" spans="1:8" x14ac:dyDescent="0.2">
      <c r="A63" s="2" t="s">
        <v>33</v>
      </c>
      <c r="B63" s="2"/>
      <c r="C63" s="2"/>
      <c r="D63" s="2"/>
      <c r="E63" s="2"/>
      <c r="F63" s="2"/>
      <c r="G63" s="2"/>
    </row>
    <row r="64" spans="1:8" x14ac:dyDescent="0.2">
      <c r="A64" s="2" t="s">
        <v>34</v>
      </c>
      <c r="B64" s="19"/>
      <c r="C64" s="19"/>
      <c r="D64" s="19"/>
      <c r="E64" s="19"/>
      <c r="F64" s="19"/>
      <c r="G64" s="19"/>
    </row>
    <row r="65" spans="1:12" x14ac:dyDescent="0.2">
      <c r="A65" s="19" t="s">
        <v>35</v>
      </c>
      <c r="B65" s="19"/>
      <c r="C65" s="19"/>
      <c r="D65" s="19"/>
      <c r="E65" s="19"/>
      <c r="F65" s="19"/>
      <c r="G65" s="19"/>
    </row>
    <row r="66" spans="1:12" x14ac:dyDescent="0.2">
      <c r="A66" s="2" t="s">
        <v>36</v>
      </c>
      <c r="B66" s="19"/>
      <c r="C66" s="19"/>
      <c r="D66" s="19"/>
      <c r="E66" s="19"/>
      <c r="F66" s="19"/>
      <c r="G66" s="19"/>
    </row>
    <row r="67" spans="1:12" x14ac:dyDescent="0.2">
      <c r="A67" s="4" t="s">
        <v>37</v>
      </c>
      <c r="B67" s="20"/>
      <c r="C67" s="19"/>
      <c r="D67" s="19"/>
      <c r="E67" s="19"/>
      <c r="F67" s="19"/>
      <c r="G67" s="19"/>
    </row>
    <row r="68" spans="1:12" x14ac:dyDescent="0.2">
      <c r="A68" s="2"/>
      <c r="B68" s="2"/>
      <c r="C68" s="2"/>
      <c r="D68" s="2"/>
      <c r="E68" s="2"/>
      <c r="F68" s="2"/>
      <c r="G68" s="2"/>
    </row>
    <row r="69" spans="1:12" ht="36.75" customHeight="1" x14ac:dyDescent="0.2">
      <c r="A69" s="150" t="s">
        <v>38</v>
      </c>
      <c r="B69" s="150"/>
      <c r="C69" s="150"/>
      <c r="D69" s="150"/>
      <c r="E69" s="150"/>
      <c r="F69" s="150"/>
      <c r="G69" s="150"/>
    </row>
    <row r="70" spans="1:12" x14ac:dyDescent="0.2">
      <c r="A70" s="2"/>
      <c r="B70" s="2"/>
      <c r="C70" s="2"/>
      <c r="D70" s="2"/>
      <c r="E70" s="2"/>
      <c r="F70" s="2"/>
      <c r="G70" s="2"/>
    </row>
    <row r="71" spans="1:12" ht="15.75" x14ac:dyDescent="0.2">
      <c r="A71" s="6" t="s">
        <v>39</v>
      </c>
      <c r="B71" s="7"/>
      <c r="C71" s="7"/>
      <c r="D71" s="7"/>
      <c r="E71" s="36"/>
      <c r="F71" s="34">
        <f>VLOOKUP(A71,[1]LEGGE!$A$16:$B$20,2,0)</f>
        <v>74.369793468886058</v>
      </c>
      <c r="G71" s="37"/>
      <c r="K71" s="135"/>
      <c r="L71" s="135"/>
    </row>
    <row r="72" spans="1:12" ht="15.75" x14ac:dyDescent="0.2">
      <c r="A72" s="6" t="s">
        <v>40</v>
      </c>
      <c r="B72" s="7"/>
      <c r="C72" s="7"/>
      <c r="D72" s="7"/>
      <c r="E72" s="36"/>
      <c r="F72" s="34">
        <f>VLOOKUP(A72,[1]LEGGE!$A$16:$B$20,2,0)</f>
        <v>74.369793468886058</v>
      </c>
      <c r="G72" s="38"/>
    </row>
    <row r="73" spans="1:12" ht="15.75" x14ac:dyDescent="0.2">
      <c r="A73" s="6" t="s">
        <v>41</v>
      </c>
      <c r="B73" s="7"/>
      <c r="C73" s="7"/>
      <c r="D73" s="7"/>
      <c r="E73" s="36"/>
      <c r="F73" s="34">
        <f>VLOOKUP(A73,[1]LEGGE!$A$16:$B$20,2,0)</f>
        <v>49.579862312590706</v>
      </c>
      <c r="G73" s="38"/>
    </row>
    <row r="74" spans="1:12" ht="15.75" x14ac:dyDescent="0.2">
      <c r="A74" s="39" t="s">
        <v>42</v>
      </c>
      <c r="B74" s="40"/>
      <c r="C74" s="40"/>
      <c r="D74" s="40"/>
      <c r="E74" s="41"/>
      <c r="F74" s="34">
        <f>VLOOKUP(A74,[1]LEGGE!$A$16:$B$20,2,0)</f>
        <v>49.579862312590706</v>
      </c>
      <c r="G74" s="134"/>
    </row>
    <row r="75" spans="1:12" s="47" customFormat="1" ht="40.5" customHeight="1" x14ac:dyDescent="0.2">
      <c r="A75" s="151" t="s">
        <v>43</v>
      </c>
      <c r="B75" s="151"/>
      <c r="C75" s="151"/>
      <c r="D75" s="151"/>
      <c r="E75" s="42"/>
      <c r="F75" s="34">
        <f>VLOOKUP(A75,[1]LEGGE!$A$16:$B$20,2,0)</f>
        <v>24.789931156295353</v>
      </c>
      <c r="G75" s="43"/>
    </row>
    <row r="76" spans="1:12" s="47" customFormat="1" ht="7.5" customHeight="1" x14ac:dyDescent="0.2">
      <c r="A76" s="44"/>
      <c r="B76" s="44"/>
      <c r="C76" s="44"/>
      <c r="D76" s="44"/>
      <c r="E76" s="45"/>
      <c r="F76" s="46"/>
      <c r="G76" s="32"/>
    </row>
    <row r="77" spans="1:12" s="47" customFormat="1" ht="3" customHeight="1" x14ac:dyDescent="0.2">
      <c r="A77" s="44"/>
      <c r="B77" s="44"/>
      <c r="C77" s="44"/>
      <c r="D77" s="44"/>
      <c r="E77" s="45"/>
      <c r="F77" s="46"/>
      <c r="G77" s="32"/>
    </row>
    <row r="78" spans="1:12" x14ac:dyDescent="0.2">
      <c r="A78" s="2"/>
      <c r="B78" s="2"/>
      <c r="C78" s="2"/>
      <c r="D78" s="2"/>
      <c r="E78" s="2"/>
      <c r="F78" s="2"/>
      <c r="G78" s="2"/>
    </row>
    <row r="79" spans="1:12" ht="15.75" x14ac:dyDescent="0.2">
      <c r="A79" s="2" t="s">
        <v>44</v>
      </c>
      <c r="B79" s="2"/>
      <c r="C79" s="2"/>
      <c r="D79" s="2"/>
      <c r="E79" s="2"/>
      <c r="F79" s="2"/>
      <c r="G79" s="2"/>
    </row>
    <row r="80" spans="1:12" x14ac:dyDescent="0.2">
      <c r="A80" s="2" t="s">
        <v>45</v>
      </c>
      <c r="B80" s="2"/>
      <c r="C80" s="2"/>
      <c r="D80" s="2"/>
      <c r="E80" s="2"/>
      <c r="F80" s="2"/>
      <c r="G80" s="2"/>
    </row>
    <row r="81" spans="1:8" ht="13.5" thickBot="1" x14ac:dyDescent="0.25">
      <c r="A81" s="2"/>
      <c r="B81" s="2"/>
      <c r="C81" s="2"/>
      <c r="D81" s="2"/>
      <c r="E81" s="2"/>
      <c r="F81" s="2"/>
      <c r="G81" s="2"/>
    </row>
    <row r="82" spans="1:8" ht="23.25" thickBot="1" x14ac:dyDescent="0.25">
      <c r="A82" s="99"/>
      <c r="B82" s="100"/>
      <c r="C82" s="65" t="s">
        <v>46</v>
      </c>
      <c r="D82" s="65" t="s">
        <v>47</v>
      </c>
      <c r="E82" s="65" t="s">
        <v>48</v>
      </c>
      <c r="F82" s="101" t="s">
        <v>49</v>
      </c>
      <c r="G82" s="102" t="s">
        <v>126</v>
      </c>
      <c r="H82" s="103"/>
    </row>
    <row r="83" spans="1:8" x14ac:dyDescent="0.2">
      <c r="A83" s="96" t="s">
        <v>50</v>
      </c>
      <c r="B83" s="14"/>
      <c r="C83" s="97">
        <f>F83/10</f>
        <v>4.1316551927158915</v>
      </c>
      <c r="D83" s="97">
        <f>C83*2</f>
        <v>8.2633103854317831</v>
      </c>
      <c r="E83" s="97">
        <f>C83*3</f>
        <v>12.394965578147675</v>
      </c>
      <c r="F83" s="108">
        <f>VLOOKUP($B$48,LEGGE!$A$23:$B$27,2,0)</f>
        <v>41.316551927158919</v>
      </c>
      <c r="G83" s="64"/>
      <c r="H83" s="66"/>
    </row>
    <row r="84" spans="1:8" ht="25.5" x14ac:dyDescent="0.2">
      <c r="A84" s="81" t="s">
        <v>30</v>
      </c>
      <c r="B84" s="69"/>
      <c r="C84" s="70">
        <f>F84/10</f>
        <v>5.3711517505306592</v>
      </c>
      <c r="D84" s="70">
        <f>C84*2</f>
        <v>10.742303501061318</v>
      </c>
      <c r="E84" s="70">
        <f>C84*3</f>
        <v>16.113455251591979</v>
      </c>
      <c r="F84" s="95">
        <f>F83*(1+$C$49)</f>
        <v>53.711517505306595</v>
      </c>
      <c r="G84" s="71"/>
      <c r="H84" s="82"/>
    </row>
    <row r="85" spans="1:8" x14ac:dyDescent="0.2">
      <c r="A85" s="2"/>
      <c r="B85" s="2"/>
      <c r="C85" s="2"/>
      <c r="D85" s="2"/>
      <c r="E85" s="2"/>
      <c r="F85" s="2"/>
      <c r="G85" s="2"/>
    </row>
    <row r="86" spans="1:8" ht="15.75" x14ac:dyDescent="0.2">
      <c r="A86" s="2" t="s">
        <v>51</v>
      </c>
      <c r="B86" s="2"/>
      <c r="C86" s="2"/>
      <c r="D86" s="2"/>
      <c r="E86" s="2"/>
      <c r="F86" s="2"/>
      <c r="G86" s="2"/>
    </row>
    <row r="87" spans="1:8" x14ac:dyDescent="0.2">
      <c r="A87" s="2" t="s">
        <v>52</v>
      </c>
      <c r="B87" s="2"/>
      <c r="C87" s="2"/>
      <c r="D87" s="2"/>
      <c r="E87" s="2"/>
      <c r="F87" s="2"/>
      <c r="G87" s="2"/>
    </row>
    <row r="88" spans="1:8" x14ac:dyDescent="0.2">
      <c r="A88" s="2" t="s">
        <v>53</v>
      </c>
      <c r="B88" s="2"/>
      <c r="C88" s="2"/>
      <c r="D88" s="2"/>
      <c r="E88" s="2"/>
      <c r="F88" s="2"/>
      <c r="G88" s="2"/>
    </row>
    <row r="89" spans="1:8" ht="15.75" x14ac:dyDescent="0.2">
      <c r="A89" s="6" t="s">
        <v>54</v>
      </c>
      <c r="B89" s="7"/>
      <c r="C89" s="7"/>
      <c r="D89" s="7"/>
      <c r="E89" s="7"/>
      <c r="F89" s="48">
        <f>VLOOKUP($B$48,LEGGE!$A$30:$B$34,2,0)</f>
        <v>2.5822844954474324</v>
      </c>
      <c r="G89" s="49"/>
    </row>
    <row r="90" spans="1:8" x14ac:dyDescent="0.2">
      <c r="A90" s="2"/>
      <c r="B90" s="2"/>
      <c r="C90" s="2"/>
      <c r="D90" s="2"/>
      <c r="E90" s="2"/>
      <c r="F90" s="2"/>
      <c r="G90" s="2"/>
    </row>
    <row r="91" spans="1:8" ht="60.75" customHeight="1" x14ac:dyDescent="0.2">
      <c r="A91" s="152" t="s">
        <v>55</v>
      </c>
      <c r="B91" s="152"/>
      <c r="C91" s="152"/>
      <c r="D91" s="152"/>
      <c r="E91" s="152"/>
      <c r="F91" s="152"/>
      <c r="G91" s="152"/>
    </row>
    <row r="92" spans="1:8" ht="13.5" thickBot="1" x14ac:dyDescent="0.25">
      <c r="A92" s="1"/>
      <c r="B92" s="1"/>
      <c r="C92" s="2"/>
      <c r="D92" s="2"/>
      <c r="E92" s="2"/>
      <c r="F92" s="2"/>
      <c r="G92" s="2"/>
    </row>
    <row r="93" spans="1:8" s="107" customFormat="1" ht="13.5" thickBot="1" x14ac:dyDescent="0.25">
      <c r="A93" s="104"/>
      <c r="B93" s="105"/>
      <c r="C93" s="101" t="s">
        <v>56</v>
      </c>
      <c r="D93" s="101" t="s">
        <v>57</v>
      </c>
      <c r="E93" s="101" t="s">
        <v>58</v>
      </c>
      <c r="F93" s="101" t="s">
        <v>59</v>
      </c>
      <c r="G93" s="102" t="s">
        <v>126</v>
      </c>
      <c r="H93" s="106"/>
    </row>
    <row r="94" spans="1:8" x14ac:dyDescent="0.2">
      <c r="A94" s="96" t="s">
        <v>60</v>
      </c>
      <c r="B94" s="14"/>
      <c r="C94" s="108">
        <f>VLOOKUP($B$48,LEGGE!$A$37:$F$41,2,0)</f>
        <v>13.427879376326649</v>
      </c>
      <c r="D94" s="97">
        <f>C94*2</f>
        <v>26.855758752653298</v>
      </c>
      <c r="E94" s="97">
        <f>C94*3</f>
        <v>40.283638128979945</v>
      </c>
      <c r="F94" s="97">
        <f>C94*4</f>
        <v>53.711517505306595</v>
      </c>
      <c r="G94" s="64"/>
      <c r="H94" s="66"/>
    </row>
    <row r="95" spans="1:8" ht="25.5" x14ac:dyDescent="0.2">
      <c r="A95" s="81" t="s">
        <v>30</v>
      </c>
      <c r="B95" s="69"/>
      <c r="C95" s="95">
        <f>C94*(1+$C$49)</f>
        <v>17.456243189224644</v>
      </c>
      <c r="D95" s="97">
        <f>C95*2</f>
        <v>34.912486378449287</v>
      </c>
      <c r="E95" s="97">
        <f>C95*3</f>
        <v>52.368729567673931</v>
      </c>
      <c r="F95" s="97">
        <f>C95*4</f>
        <v>69.824972756898575</v>
      </c>
      <c r="G95" s="71"/>
      <c r="H95" s="82"/>
    </row>
    <row r="96" spans="1:8" ht="25.5" x14ac:dyDescent="0.2">
      <c r="A96" s="83" t="s">
        <v>123</v>
      </c>
      <c r="B96" s="43"/>
      <c r="C96" s="67">
        <f>C95*(1+$G96)</f>
        <v>26.184364783836966</v>
      </c>
      <c r="D96" s="97">
        <f>C96*2</f>
        <v>52.368729567673931</v>
      </c>
      <c r="E96" s="97">
        <f>C96*3</f>
        <v>78.553094351510893</v>
      </c>
      <c r="F96" s="97">
        <f>C96*4</f>
        <v>104.73745913534786</v>
      </c>
      <c r="G96" s="68">
        <v>0.5</v>
      </c>
      <c r="H96" s="84"/>
    </row>
    <row r="97" spans="1:8" ht="26.25" thickBot="1" x14ac:dyDescent="0.25">
      <c r="A97" s="85" t="s">
        <v>122</v>
      </c>
      <c r="B97" s="86"/>
      <c r="C97" s="87">
        <f>C95*(1+$G97)</f>
        <v>34.912486378449287</v>
      </c>
      <c r="D97" s="98">
        <f>C97*2</f>
        <v>69.824972756898575</v>
      </c>
      <c r="E97" s="98">
        <f>C97*3</f>
        <v>104.73745913534786</v>
      </c>
      <c r="F97" s="98">
        <f>C97*4</f>
        <v>139.64994551379715</v>
      </c>
      <c r="G97" s="88">
        <v>1</v>
      </c>
      <c r="H97" s="89"/>
    </row>
    <row r="98" spans="1:8" x14ac:dyDescent="0.2">
      <c r="A98" s="2"/>
      <c r="B98" s="2"/>
      <c r="C98" s="2"/>
      <c r="D98" s="2"/>
      <c r="E98" s="2"/>
      <c r="F98" s="2"/>
      <c r="G98" s="2"/>
    </row>
    <row r="99" spans="1:8" x14ac:dyDescent="0.2">
      <c r="A99" s="2" t="s">
        <v>61</v>
      </c>
      <c r="B99" s="2"/>
      <c r="C99" s="2"/>
      <c r="D99" s="2"/>
      <c r="E99" s="2"/>
      <c r="F99" s="2"/>
      <c r="G99" s="2"/>
    </row>
    <row r="100" spans="1:8" ht="45.75" customHeight="1" x14ac:dyDescent="0.2">
      <c r="A100" s="149" t="s">
        <v>62</v>
      </c>
      <c r="B100" s="149"/>
      <c r="C100" s="149"/>
      <c r="D100" s="149"/>
      <c r="E100" s="149"/>
      <c r="F100" s="149"/>
      <c r="G100" s="149"/>
    </row>
    <row r="101" spans="1:8" ht="15.75" x14ac:dyDescent="0.2">
      <c r="A101" s="50" t="s">
        <v>63</v>
      </c>
      <c r="B101" s="3"/>
      <c r="C101" s="2"/>
      <c r="D101" s="3"/>
      <c r="E101" s="2"/>
      <c r="F101" s="51">
        <f>VLOOKUP($B$48,LEGGE!$A$37:$F$41,3,0)</f>
        <v>61.974827890738382</v>
      </c>
      <c r="G101" s="2"/>
    </row>
    <row r="102" spans="1:8" x14ac:dyDescent="0.2">
      <c r="A102" s="2"/>
      <c r="B102" s="2"/>
      <c r="C102" s="2"/>
      <c r="D102" s="2"/>
      <c r="E102" s="2"/>
      <c r="F102" s="2"/>
      <c r="G102" s="2"/>
    </row>
    <row r="103" spans="1:8" ht="13.5" customHeight="1" x14ac:dyDescent="0.2">
      <c r="A103" s="149" t="s">
        <v>64</v>
      </c>
      <c r="B103" s="149"/>
      <c r="C103" s="149"/>
      <c r="D103" s="149"/>
      <c r="E103" s="149"/>
      <c r="F103" s="149"/>
      <c r="G103" s="149"/>
    </row>
    <row r="104" spans="1:8" ht="15.75" x14ac:dyDescent="0.2">
      <c r="A104" s="50" t="s">
        <v>65</v>
      </c>
      <c r="B104" s="3"/>
      <c r="C104" s="2"/>
      <c r="D104" s="2"/>
      <c r="E104" s="2"/>
      <c r="F104" s="51">
        <f>VLOOKUP($B$48,LEGGE!$A$37:$F$41,4,0)</f>
        <v>30.987413945369191</v>
      </c>
      <c r="G104" s="2"/>
    </row>
    <row r="105" spans="1:8" ht="63" customHeight="1" x14ac:dyDescent="0.2">
      <c r="A105" s="149" t="s">
        <v>66</v>
      </c>
      <c r="B105" s="149"/>
      <c r="C105" s="149"/>
      <c r="D105" s="149"/>
      <c r="E105" s="149"/>
      <c r="F105" s="149"/>
      <c r="G105" s="149"/>
    </row>
    <row r="106" spans="1:8" ht="15.75" x14ac:dyDescent="0.2">
      <c r="A106" s="52" t="s">
        <v>67</v>
      </c>
      <c r="B106" s="3"/>
      <c r="C106" s="2"/>
      <c r="D106" s="2"/>
      <c r="E106" s="3"/>
      <c r="F106" s="51">
        <f>VLOOKUP($B$48,LEGGE!$A$37:$F$41,5,0)</f>
        <v>2.5822844954474324</v>
      </c>
      <c r="G106" s="2"/>
    </row>
    <row r="107" spans="1:8" x14ac:dyDescent="0.2">
      <c r="A107" s="10"/>
      <c r="B107" s="10"/>
      <c r="C107" s="10"/>
      <c r="D107" s="10"/>
      <c r="E107" s="10"/>
      <c r="F107" s="53"/>
      <c r="G107" s="2"/>
    </row>
    <row r="108" spans="1:8" ht="19.5" customHeight="1" x14ac:dyDescent="0.2">
      <c r="A108" s="149" t="s">
        <v>68</v>
      </c>
      <c r="B108" s="149"/>
      <c r="C108" s="149"/>
      <c r="D108" s="149"/>
      <c r="E108" s="149"/>
      <c r="F108" s="149"/>
      <c r="G108" s="149"/>
    </row>
    <row r="109" spans="1:8" ht="15.75" x14ac:dyDescent="0.2">
      <c r="A109" s="52" t="s">
        <v>69</v>
      </c>
      <c r="B109" s="2"/>
      <c r="C109" s="2"/>
      <c r="D109" s="2"/>
      <c r="E109" s="2"/>
      <c r="F109" s="51">
        <f>VLOOKUP($B$48,LEGGE!$A$37:$F$41,6,0)</f>
        <v>7.7468534863422978</v>
      </c>
      <c r="G109" s="2"/>
    </row>
  </sheetData>
  <mergeCells count="18">
    <mergeCell ref="A103:G103"/>
    <mergeCell ref="A105:G105"/>
    <mergeCell ref="A108:G108"/>
    <mergeCell ref="A46:G46"/>
    <mergeCell ref="A69:G69"/>
    <mergeCell ref="A75:D75"/>
    <mergeCell ref="A91:G91"/>
    <mergeCell ref="A42:G42"/>
    <mergeCell ref="A43:G43"/>
    <mergeCell ref="A45:G45"/>
    <mergeCell ref="A37:G38"/>
    <mergeCell ref="A100:G100"/>
    <mergeCell ref="A1:G1"/>
    <mergeCell ref="A2:G2"/>
    <mergeCell ref="A4:G4"/>
    <mergeCell ref="A5:G5"/>
    <mergeCell ref="A6:G6"/>
    <mergeCell ref="A3:G3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91" orientation="portrait" horizontalDpi="4294967292" verticalDpi="4294967293" r:id="rId1"/>
  <headerFooter alignWithMargins="0"/>
  <rowBreaks count="1" manualBreakCount="1">
    <brk id="4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workbookViewId="0">
      <selection activeCell="B16" sqref="B16"/>
    </sheetView>
  </sheetViews>
  <sheetFormatPr defaultColWidth="11.42578125" defaultRowHeight="12.75" x14ac:dyDescent="0.2"/>
  <cols>
    <col min="1" max="1" width="62" customWidth="1"/>
    <col min="2" max="2" width="15" customWidth="1"/>
    <col min="3" max="3" width="15.140625" customWidth="1"/>
    <col min="4" max="4" width="11.28515625" customWidth="1"/>
    <col min="5" max="5" width="15.5703125" customWidth="1"/>
    <col min="6" max="6" width="9.7109375" customWidth="1"/>
    <col min="7" max="7" width="15.28515625" customWidth="1"/>
    <col min="8" max="8" width="15.85546875" customWidth="1"/>
  </cols>
  <sheetData>
    <row r="1" spans="1:8" x14ac:dyDescent="0.2">
      <c r="A1" s="21" t="s">
        <v>70</v>
      </c>
      <c r="B1" s="22" t="s">
        <v>71</v>
      </c>
      <c r="C1" s="22" t="s">
        <v>72</v>
      </c>
      <c r="D1" s="23"/>
      <c r="E1" s="23" t="s">
        <v>73</v>
      </c>
      <c r="F1" s="24">
        <v>1936.27</v>
      </c>
      <c r="G1" s="25"/>
      <c r="H1" s="25"/>
    </row>
    <row r="2" spans="1:8" x14ac:dyDescent="0.2">
      <c r="A2" s="22" t="s">
        <v>74</v>
      </c>
      <c r="B2" s="22">
        <f>2800/F1</f>
        <v>1.4460793174505622</v>
      </c>
      <c r="C2" s="22">
        <f>840/F1</f>
        <v>0.43382379523516867</v>
      </c>
      <c r="D2" s="3"/>
      <c r="E2" s="3"/>
      <c r="F2" s="24"/>
      <c r="G2" s="25"/>
      <c r="H2" s="25"/>
    </row>
    <row r="3" spans="1:8" x14ac:dyDescent="0.2">
      <c r="A3" s="22" t="s">
        <v>75</v>
      </c>
      <c r="B3" s="22">
        <f>2600/F1</f>
        <v>1.3427879376326648</v>
      </c>
      <c r="C3" s="22">
        <f>780/F1</f>
        <v>0.40283638128979948</v>
      </c>
      <c r="D3" s="24"/>
      <c r="E3" s="24"/>
      <c r="F3" s="24"/>
      <c r="G3" s="25"/>
      <c r="H3" s="25"/>
    </row>
    <row r="4" spans="1:8" x14ac:dyDescent="0.2">
      <c r="A4" s="22" t="s">
        <v>76</v>
      </c>
      <c r="B4" s="22">
        <f>2400/F1</f>
        <v>1.2394965578147676</v>
      </c>
      <c r="C4" s="22">
        <f>720/F1</f>
        <v>0.37184896734443029</v>
      </c>
      <c r="D4" s="24"/>
      <c r="E4" s="24"/>
      <c r="F4" s="24"/>
      <c r="G4" s="25"/>
      <c r="H4" s="25"/>
    </row>
    <row r="5" spans="1:8" x14ac:dyDescent="0.2">
      <c r="A5" s="22" t="s">
        <v>77</v>
      </c>
      <c r="B5" s="22">
        <f>2200/F1</f>
        <v>1.1362051779968703</v>
      </c>
      <c r="C5" s="22">
        <f>660/F1</f>
        <v>0.3408615533990611</v>
      </c>
      <c r="D5" s="24"/>
      <c r="E5" s="24"/>
      <c r="F5" s="24"/>
      <c r="G5" s="25"/>
      <c r="H5" s="25"/>
    </row>
    <row r="6" spans="1:8" x14ac:dyDescent="0.2">
      <c r="A6" s="22" t="s">
        <v>78</v>
      </c>
      <c r="B6" s="22">
        <f>2000/F1</f>
        <v>1.0329137981789729</v>
      </c>
      <c r="C6" s="22">
        <f>600/F1</f>
        <v>0.30987413945369191</v>
      </c>
      <c r="D6" s="24"/>
      <c r="E6" s="24"/>
      <c r="F6" s="24"/>
      <c r="G6" s="25"/>
      <c r="H6" s="25"/>
    </row>
    <row r="7" spans="1:8" x14ac:dyDescent="0.2">
      <c r="A7" s="24"/>
      <c r="B7" s="24"/>
      <c r="C7" s="24"/>
      <c r="D7" s="24"/>
      <c r="E7" s="24"/>
      <c r="F7" s="24"/>
      <c r="G7" s="25"/>
      <c r="H7" s="25"/>
    </row>
    <row r="8" spans="1:8" x14ac:dyDescent="0.2">
      <c r="A8" s="21" t="s">
        <v>79</v>
      </c>
      <c r="B8" s="22">
        <v>36951</v>
      </c>
      <c r="C8" s="24" t="s">
        <v>80</v>
      </c>
      <c r="D8" s="24"/>
      <c r="E8" s="24"/>
      <c r="F8" s="24"/>
      <c r="G8" s="25"/>
      <c r="H8" s="25"/>
    </row>
    <row r="9" spans="1:8" x14ac:dyDescent="0.2">
      <c r="A9" s="56" t="s">
        <v>81</v>
      </c>
      <c r="B9" s="56">
        <f>38000/F1</f>
        <v>19.625362165400485</v>
      </c>
      <c r="C9" s="24">
        <f>32000/F1</f>
        <v>16.526620770863566</v>
      </c>
      <c r="D9" s="3"/>
      <c r="E9" s="24"/>
      <c r="F9" s="24"/>
      <c r="G9" s="25"/>
      <c r="H9" s="25"/>
    </row>
    <row r="10" spans="1:8" x14ac:dyDescent="0.2">
      <c r="A10" s="56" t="s">
        <v>82</v>
      </c>
      <c r="B10" s="56">
        <f>34000/F1</f>
        <v>17.55953456904254</v>
      </c>
      <c r="C10" s="24">
        <f>28000/F1</f>
        <v>14.460793174505621</v>
      </c>
      <c r="D10" s="24"/>
      <c r="E10" s="24"/>
      <c r="F10" s="24"/>
      <c r="G10" s="25"/>
      <c r="H10" s="25"/>
    </row>
    <row r="11" spans="1:8" x14ac:dyDescent="0.2">
      <c r="A11" s="56" t="s">
        <v>83</v>
      </c>
      <c r="B11" s="56">
        <f>30000/F1</f>
        <v>15.493706972684596</v>
      </c>
      <c r="C11" s="24">
        <f>24000/F1</f>
        <v>12.394965578147676</v>
      </c>
      <c r="D11" s="24"/>
      <c r="E11" s="24"/>
      <c r="F11" s="24" t="s">
        <v>84</v>
      </c>
      <c r="G11" s="25"/>
      <c r="H11" s="25"/>
    </row>
    <row r="12" spans="1:8" x14ac:dyDescent="0.2">
      <c r="A12" s="56" t="s">
        <v>85</v>
      </c>
      <c r="B12" s="56">
        <f>26000/F1</f>
        <v>13.427879376326649</v>
      </c>
      <c r="C12" s="24">
        <f>20000/F1</f>
        <v>10.32913798178973</v>
      </c>
      <c r="D12" s="24"/>
      <c r="E12" s="24"/>
      <c r="F12" s="24"/>
      <c r="G12" s="25"/>
      <c r="H12" s="25"/>
    </row>
    <row r="13" spans="1:8" x14ac:dyDescent="0.2">
      <c r="A13" s="56" t="s">
        <v>86</v>
      </c>
      <c r="B13" s="56">
        <f>22000/F1</f>
        <v>11.362051779968702</v>
      </c>
      <c r="C13" s="24">
        <f>16000/F1</f>
        <v>8.2633103854317831</v>
      </c>
      <c r="D13" s="24"/>
      <c r="E13" s="24"/>
      <c r="F13" s="24"/>
      <c r="G13" s="25"/>
      <c r="H13" s="25"/>
    </row>
    <row r="14" spans="1:8" x14ac:dyDescent="0.2">
      <c r="A14" s="24"/>
      <c r="B14" s="24"/>
      <c r="C14" s="24"/>
      <c r="D14" s="24"/>
      <c r="E14" s="24"/>
      <c r="F14" s="24"/>
      <c r="G14" s="25"/>
      <c r="H14" s="25"/>
    </row>
    <row r="15" spans="1:8" x14ac:dyDescent="0.2">
      <c r="A15" s="24"/>
      <c r="B15" s="24"/>
      <c r="C15" s="24"/>
      <c r="D15" s="24"/>
      <c r="E15" s="24"/>
      <c r="F15" s="24"/>
      <c r="G15" s="25"/>
      <c r="H15" s="25"/>
    </row>
    <row r="16" spans="1:8" ht="15.75" x14ac:dyDescent="0.2">
      <c r="A16" s="26" t="s">
        <v>87</v>
      </c>
      <c r="B16" s="27">
        <f>144000/F1</f>
        <v>74.369793468886058</v>
      </c>
      <c r="C16" s="28"/>
      <c r="D16" s="3"/>
      <c r="E16" s="24"/>
      <c r="F16" s="24"/>
      <c r="G16" s="25"/>
      <c r="H16" s="25"/>
    </row>
    <row r="17" spans="1:8" ht="15.75" x14ac:dyDescent="0.2">
      <c r="A17" s="26" t="s">
        <v>88</v>
      </c>
      <c r="B17" s="27">
        <f>144000/F1</f>
        <v>74.369793468886058</v>
      </c>
      <c r="C17" s="28"/>
      <c r="D17" s="28"/>
      <c r="E17" s="24"/>
      <c r="F17" s="24"/>
      <c r="G17" s="25"/>
      <c r="H17" s="25"/>
    </row>
    <row r="18" spans="1:8" ht="15.75" x14ac:dyDescent="0.2">
      <c r="A18" s="26" t="s">
        <v>89</v>
      </c>
      <c r="B18" s="27">
        <f>96000/F1</f>
        <v>49.579862312590706</v>
      </c>
      <c r="C18" s="28"/>
      <c r="D18" s="28"/>
      <c r="E18" s="24"/>
      <c r="F18" s="24"/>
      <c r="G18" s="25"/>
      <c r="H18" s="25"/>
    </row>
    <row r="19" spans="1:8" ht="15.75" x14ac:dyDescent="0.2">
      <c r="A19" s="26" t="s">
        <v>90</v>
      </c>
      <c r="B19" s="27">
        <f>96000/F1</f>
        <v>49.579862312590706</v>
      </c>
      <c r="C19" s="28"/>
      <c r="D19" s="28"/>
      <c r="E19" s="24"/>
      <c r="F19" s="24"/>
      <c r="G19" s="25"/>
      <c r="H19" s="25"/>
    </row>
    <row r="20" spans="1:8" ht="15.75" x14ac:dyDescent="0.2">
      <c r="A20" s="26" t="s">
        <v>91</v>
      </c>
      <c r="B20" s="27">
        <f>48000/F1</f>
        <v>24.789931156295353</v>
      </c>
      <c r="C20" s="28"/>
      <c r="D20" s="28"/>
      <c r="E20" s="24"/>
      <c r="F20" s="24"/>
      <c r="G20" s="25"/>
      <c r="H20" s="25"/>
    </row>
    <row r="21" spans="1:8" x14ac:dyDescent="0.2">
      <c r="A21" s="24"/>
      <c r="B21" s="24"/>
      <c r="C21" s="24"/>
      <c r="D21" s="24"/>
      <c r="E21" s="24"/>
      <c r="F21" s="24"/>
      <c r="G21" s="25"/>
      <c r="H21" s="25"/>
    </row>
    <row r="22" spans="1:8" x14ac:dyDescent="0.2">
      <c r="A22" s="21" t="s">
        <v>92</v>
      </c>
      <c r="B22" s="22"/>
      <c r="C22" s="24"/>
      <c r="D22" s="23"/>
      <c r="E22" s="24"/>
      <c r="F22" s="24"/>
      <c r="G22" s="25"/>
      <c r="H22" s="25"/>
    </row>
    <row r="23" spans="1:8" x14ac:dyDescent="0.2">
      <c r="A23" s="22" t="s">
        <v>93</v>
      </c>
      <c r="B23" s="22">
        <f>128000/F1</f>
        <v>66.106483083454265</v>
      </c>
      <c r="C23" s="24"/>
      <c r="D23" s="24"/>
      <c r="E23" s="24"/>
      <c r="F23" s="24"/>
      <c r="G23" s="25"/>
      <c r="H23" s="25"/>
    </row>
    <row r="24" spans="1:8" x14ac:dyDescent="0.2">
      <c r="A24" s="22" t="s">
        <v>94</v>
      </c>
      <c r="B24" s="22">
        <f>112000/F1</f>
        <v>57.843172698022485</v>
      </c>
      <c r="C24" s="24"/>
      <c r="D24" s="24"/>
      <c r="E24" s="24"/>
      <c r="F24" s="24"/>
      <c r="G24" s="25"/>
      <c r="H24" s="25"/>
    </row>
    <row r="25" spans="1:8" x14ac:dyDescent="0.2">
      <c r="A25" s="22" t="s">
        <v>95</v>
      </c>
      <c r="B25" s="22">
        <f>96000/F1</f>
        <v>49.579862312590706</v>
      </c>
      <c r="C25" s="3"/>
      <c r="D25" s="24"/>
      <c r="E25" s="24"/>
      <c r="F25" s="24"/>
      <c r="G25" s="25"/>
      <c r="H25" s="25"/>
    </row>
    <row r="26" spans="1:8" x14ac:dyDescent="0.2">
      <c r="A26" s="22" t="s">
        <v>96</v>
      </c>
      <c r="B26" s="24">
        <f>80000/F1</f>
        <v>41.316551927158919</v>
      </c>
      <c r="C26" s="24"/>
      <c r="D26" s="24"/>
      <c r="E26" s="24"/>
      <c r="F26" s="24"/>
      <c r="G26" s="25"/>
      <c r="H26" s="25"/>
    </row>
    <row r="27" spans="1:8" x14ac:dyDescent="0.2">
      <c r="A27" s="22" t="s">
        <v>97</v>
      </c>
      <c r="B27" s="22">
        <f>64000/F1</f>
        <v>33.053241541727132</v>
      </c>
      <c r="C27" s="24"/>
      <c r="D27" s="24"/>
      <c r="E27" s="24"/>
      <c r="F27" s="24"/>
      <c r="G27" s="25"/>
      <c r="H27" s="25"/>
    </row>
    <row r="28" spans="1:8" x14ac:dyDescent="0.2">
      <c r="A28" s="24"/>
      <c r="B28" s="24"/>
      <c r="C28" s="24"/>
      <c r="D28" s="24"/>
      <c r="E28" s="24"/>
      <c r="F28" s="24"/>
      <c r="G28" s="25"/>
      <c r="H28" s="25"/>
    </row>
    <row r="29" spans="1:8" x14ac:dyDescent="0.2">
      <c r="A29" s="22" t="s">
        <v>98</v>
      </c>
      <c r="B29" s="22"/>
      <c r="C29" s="24"/>
      <c r="D29" s="21" t="s">
        <v>99</v>
      </c>
      <c r="E29" s="24"/>
      <c r="F29" s="24"/>
      <c r="G29" s="25"/>
      <c r="H29" s="25"/>
    </row>
    <row r="30" spans="1:8" x14ac:dyDescent="0.2">
      <c r="A30" s="22" t="s">
        <v>100</v>
      </c>
      <c r="B30" s="22">
        <f>8000/F1</f>
        <v>4.1316551927158915</v>
      </c>
      <c r="C30" s="24"/>
      <c r="D30" s="22">
        <f>B30+(B30*1.5)</f>
        <v>10.329137981789728</v>
      </c>
      <c r="E30" s="24"/>
      <c r="F30" s="24"/>
      <c r="G30" s="25"/>
      <c r="H30" s="25"/>
    </row>
    <row r="31" spans="1:8" x14ac:dyDescent="0.2">
      <c r="A31" s="22" t="s">
        <v>101</v>
      </c>
      <c r="B31" s="22">
        <f>7000/F1</f>
        <v>3.6151982936264053</v>
      </c>
      <c r="C31" s="24"/>
      <c r="D31" s="22">
        <f>B31+(B31*1.5)</f>
        <v>9.037995734066012</v>
      </c>
      <c r="E31" s="24"/>
      <c r="F31" s="24"/>
      <c r="G31" s="25"/>
      <c r="H31" s="25"/>
    </row>
    <row r="32" spans="1:8" x14ac:dyDescent="0.2">
      <c r="A32" s="22" t="s">
        <v>102</v>
      </c>
      <c r="B32" s="22">
        <f>6000/F1</f>
        <v>3.0987413945369191</v>
      </c>
      <c r="C32" s="24"/>
      <c r="D32" s="22">
        <f>B32+(B32*1.5)</f>
        <v>7.7468534863422978</v>
      </c>
      <c r="E32" s="24"/>
      <c r="F32" s="24"/>
      <c r="G32" s="25"/>
      <c r="H32" s="25"/>
    </row>
    <row r="33" spans="1:8" x14ac:dyDescent="0.2">
      <c r="A33" s="22" t="s">
        <v>103</v>
      </c>
      <c r="B33" s="22">
        <f>5000/F1</f>
        <v>2.5822844954474324</v>
      </c>
      <c r="C33" s="24"/>
      <c r="D33" s="24"/>
      <c r="E33" s="24"/>
      <c r="F33" s="24"/>
      <c r="G33" s="25"/>
      <c r="H33" s="25"/>
    </row>
    <row r="34" spans="1:8" x14ac:dyDescent="0.2">
      <c r="A34" s="22" t="s">
        <v>104</v>
      </c>
      <c r="B34" s="22">
        <f>4000/F1</f>
        <v>2.0658275963579458</v>
      </c>
      <c r="C34" s="24"/>
      <c r="D34" s="24"/>
      <c r="E34" s="24"/>
      <c r="F34" s="24"/>
      <c r="G34" s="25"/>
      <c r="H34" s="25"/>
    </row>
    <row r="35" spans="1:8" x14ac:dyDescent="0.2">
      <c r="A35" s="24"/>
      <c r="B35" s="24"/>
      <c r="C35" s="24"/>
      <c r="D35" s="24"/>
      <c r="E35" s="24"/>
      <c r="F35" s="24"/>
      <c r="G35" s="25"/>
      <c r="H35" s="25"/>
    </row>
    <row r="36" spans="1:8" x14ac:dyDescent="0.2">
      <c r="A36" s="21" t="s">
        <v>105</v>
      </c>
      <c r="B36" s="21" t="s">
        <v>106</v>
      </c>
      <c r="C36" s="21" t="s">
        <v>107</v>
      </c>
      <c r="D36" s="21" t="s">
        <v>108</v>
      </c>
      <c r="E36" s="21" t="s">
        <v>109</v>
      </c>
      <c r="F36" s="21" t="s">
        <v>110</v>
      </c>
      <c r="G36" s="29" t="s">
        <v>111</v>
      </c>
      <c r="H36" s="29" t="s">
        <v>112</v>
      </c>
    </row>
    <row r="37" spans="1:8" x14ac:dyDescent="0.2">
      <c r="A37" s="22" t="s">
        <v>113</v>
      </c>
      <c r="B37" s="22">
        <f>B9</f>
        <v>19.625362165400485</v>
      </c>
      <c r="C37" s="22">
        <f>192000/F1</f>
        <v>99.159724625181411</v>
      </c>
      <c r="D37" s="22">
        <f>C37/2</f>
        <v>49.579862312590706</v>
      </c>
      <c r="E37" s="22">
        <f>8000/F1</f>
        <v>4.1316551927158915</v>
      </c>
      <c r="F37" s="22">
        <f>24000/F1</f>
        <v>12.394965578147676</v>
      </c>
      <c r="G37" s="30">
        <f t="shared" ref="G37:H39" si="0">E37+(E37*1.5)</f>
        <v>10.329137981789728</v>
      </c>
      <c r="H37" s="30">
        <f t="shared" si="0"/>
        <v>30.987413945369191</v>
      </c>
    </row>
    <row r="38" spans="1:8" x14ac:dyDescent="0.2">
      <c r="A38" s="22" t="s">
        <v>114</v>
      </c>
      <c r="B38" s="22">
        <f>B10</f>
        <v>17.55953456904254</v>
      </c>
      <c r="C38" s="22">
        <f>168000/F1</f>
        <v>86.764759047033735</v>
      </c>
      <c r="D38" s="22">
        <f>C38/2</f>
        <v>43.382379523516867</v>
      </c>
      <c r="E38" s="22">
        <f>7000/F1</f>
        <v>3.6151982936264053</v>
      </c>
      <c r="F38" s="22">
        <f>21000/F1</f>
        <v>10.845594880879217</v>
      </c>
      <c r="G38" s="30">
        <f t="shared" si="0"/>
        <v>9.037995734066012</v>
      </c>
      <c r="H38" s="30">
        <f t="shared" si="0"/>
        <v>27.113987202198039</v>
      </c>
    </row>
    <row r="39" spans="1:8" x14ac:dyDescent="0.2">
      <c r="A39" s="22" t="s">
        <v>115</v>
      </c>
      <c r="B39" s="22">
        <f>B11</f>
        <v>15.493706972684596</v>
      </c>
      <c r="C39" s="22">
        <f>144000/F1</f>
        <v>74.369793468886058</v>
      </c>
      <c r="D39" s="22">
        <f>C39/2</f>
        <v>37.184896734443029</v>
      </c>
      <c r="E39" s="22">
        <f>6000/F1</f>
        <v>3.0987413945369191</v>
      </c>
      <c r="F39" s="22">
        <f>18000/F1</f>
        <v>9.2962241836107573</v>
      </c>
      <c r="G39" s="30">
        <f t="shared" si="0"/>
        <v>7.7468534863422978</v>
      </c>
      <c r="H39" s="30">
        <f t="shared" si="0"/>
        <v>23.240560459026895</v>
      </c>
    </row>
    <row r="40" spans="1:8" x14ac:dyDescent="0.2">
      <c r="A40" s="22" t="s">
        <v>116</v>
      </c>
      <c r="B40" s="22">
        <f>B12</f>
        <v>13.427879376326649</v>
      </c>
      <c r="C40" s="22">
        <f>120000/F1</f>
        <v>61.974827890738382</v>
      </c>
      <c r="D40" s="22">
        <f>C40/2</f>
        <v>30.987413945369191</v>
      </c>
      <c r="E40" s="22">
        <f>5000/F1</f>
        <v>2.5822844954474324</v>
      </c>
      <c r="F40" s="22">
        <f>15000/F1</f>
        <v>7.7468534863422978</v>
      </c>
      <c r="G40" s="31"/>
      <c r="H40" s="31"/>
    </row>
    <row r="41" spans="1:8" x14ac:dyDescent="0.2">
      <c r="A41" s="22" t="s">
        <v>117</v>
      </c>
      <c r="B41" s="22">
        <f>B13</f>
        <v>11.362051779968702</v>
      </c>
      <c r="C41" s="22">
        <f>96000/F1</f>
        <v>49.579862312590706</v>
      </c>
      <c r="D41" s="22">
        <f>C41/2</f>
        <v>24.789931156295353</v>
      </c>
      <c r="E41" s="22">
        <f>4000/F1</f>
        <v>2.0658275963579458</v>
      </c>
      <c r="F41" s="22">
        <f>12000/F1</f>
        <v>6.1974827890738382</v>
      </c>
      <c r="G41" s="31"/>
      <c r="H41" s="31"/>
    </row>
  </sheetData>
  <phoneticPr fontId="0" type="noConversion"/>
  <printOptions gridLines="1" gridLinesSet="0"/>
  <pageMargins left="0.75" right="0.75" top="1" bottom="1" header="0.51181102300000003" footer="0.5118110230000000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AUMSUP20</vt:lpstr>
      <vt:lpstr>LEGGE</vt:lpstr>
      <vt:lpstr>AUMSUP20!Area_stampa</vt:lpstr>
      <vt:lpstr>TAR_AFF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Vesco</dc:creator>
  <cp:lastModifiedBy>Franco Raimondi</cp:lastModifiedBy>
  <cp:lastPrinted>2018-12-28T15:02:46Z</cp:lastPrinted>
  <dcterms:created xsi:type="dcterms:W3CDTF">2002-01-11T16:43:47Z</dcterms:created>
  <dcterms:modified xsi:type="dcterms:W3CDTF">2019-02-04T16:42:44Z</dcterms:modified>
</cp:coreProperties>
</file>