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0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fb1\AC\Temp\"/>
    </mc:Choice>
  </mc:AlternateContent>
  <xr:revisionPtr revIDLastSave="2" documentId="8_{DF5545AC-97A6-431E-A17C-2CEE4AD58CD5}" xr6:coauthVersionLast="47" xr6:coauthVersionMax="47" xr10:uidLastSave="{746D7B4C-B05F-40AA-957A-49341C662513}"/>
  <bookViews>
    <workbookView xWindow="-120" yWindow="-120" windowWidth="15600" windowHeight="11760" firstSheet="2" activeTab="1" xr2:uid="{00000000-000D-0000-FFFF-FFFF00000000}"/>
  </bookViews>
  <sheets>
    <sheet name="INFO" sheetId="7" r:id="rId1"/>
    <sheet name="TARIFFE2020" sheetId="8" r:id="rId2"/>
    <sheet name="CONVERTITORE TARIFFE CANONE" sheetId="6" r:id="rId3"/>
    <sheet name="Table 2" sheetId="2" state="hidden" r:id="rId4"/>
    <sheet name="Table 3" sheetId="3" state="hidden" r:id="rId5"/>
    <sheet name="Table 4" sheetId="4" state="hidden" r:id="rId6"/>
    <sheet name="Table 5" sheetId="5" state="hidden" r:id="rId7"/>
  </sheets>
  <externalReferences>
    <externalReference r:id="rId8"/>
  </externalReferenc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6" l="1"/>
  <c r="H103" i="6"/>
  <c r="G102" i="6"/>
  <c r="G103" i="6"/>
  <c r="F102" i="6"/>
  <c r="F103" i="6"/>
  <c r="E102" i="6"/>
  <c r="E103" i="6"/>
  <c r="D102" i="6"/>
  <c r="D103" i="6"/>
  <c r="H99" i="6"/>
  <c r="G99" i="6"/>
  <c r="D99" i="6"/>
  <c r="D100" i="6"/>
  <c r="F99" i="6"/>
  <c r="E99" i="6"/>
  <c r="F32" i="6"/>
  <c r="E32" i="6"/>
  <c r="D83" i="6"/>
  <c r="F83" i="6"/>
  <c r="E83" i="6"/>
  <c r="D82" i="6"/>
  <c r="F82" i="6"/>
  <c r="E82" i="6"/>
  <c r="D81" i="6"/>
  <c r="F81" i="6"/>
  <c r="E81" i="6"/>
  <c r="D80" i="6"/>
  <c r="F80" i="6"/>
  <c r="E80" i="6"/>
  <c r="F69" i="6"/>
  <c r="F70" i="6"/>
  <c r="B8" i="8"/>
  <c r="F14" i="8"/>
  <c r="C9" i="8"/>
  <c r="C51" i="8"/>
  <c r="F8" i="8"/>
  <c r="F50" i="8"/>
  <c r="F86" i="8"/>
  <c r="F85" i="8"/>
  <c r="F84" i="8"/>
  <c r="F83" i="8"/>
  <c r="F82" i="8"/>
  <c r="A50" i="8"/>
  <c r="F31" i="6"/>
  <c r="E31" i="6"/>
  <c r="F44" i="6"/>
  <c r="F46" i="6"/>
  <c r="F50" i="6"/>
  <c r="F49" i="6"/>
  <c r="F47" i="6"/>
  <c r="F51" i="6"/>
  <c r="F48" i="6"/>
  <c r="F52" i="6"/>
  <c r="F45" i="6"/>
  <c r="C25" i="8"/>
  <c r="G14" i="8"/>
  <c r="C26" i="8"/>
  <c r="F15" i="8"/>
  <c r="G15" i="8"/>
  <c r="B50" i="8"/>
  <c r="C27" i="8"/>
  <c r="D25" i="8"/>
  <c r="F106" i="8"/>
  <c r="F94" i="8"/>
  <c r="F128" i="8"/>
  <c r="F57" i="8"/>
  <c r="F132" i="8"/>
  <c r="F126" i="8"/>
  <c r="D43" i="6"/>
  <c r="F43" i="6"/>
  <c r="E43" i="6"/>
  <c r="F123" i="8"/>
  <c r="D42" i="6"/>
  <c r="F42" i="6"/>
  <c r="E42" i="6"/>
  <c r="D26" i="8"/>
  <c r="C28" i="8"/>
  <c r="D33" i="6"/>
  <c r="F98" i="8"/>
  <c r="C98" i="8"/>
  <c r="C94" i="8"/>
  <c r="F95" i="8"/>
  <c r="D41" i="6"/>
  <c r="F41" i="6"/>
  <c r="E41" i="6"/>
  <c r="F107" i="8"/>
  <c r="D26" i="6"/>
  <c r="F26" i="6"/>
  <c r="E26" i="6"/>
  <c r="F133" i="8"/>
  <c r="E26" i="8"/>
  <c r="D28" i="8"/>
  <c r="C57" i="8"/>
  <c r="F61" i="8"/>
  <c r="C112" i="8"/>
  <c r="F66" i="8"/>
  <c r="F58" i="8"/>
  <c r="F70" i="8"/>
  <c r="C70" i="8"/>
  <c r="D15" i="6"/>
  <c r="F15" i="6" s="1"/>
  <c r="E15" i="6"/>
  <c r="D27" i="8"/>
  <c r="E25" i="8"/>
  <c r="F129" i="8"/>
  <c r="D25" i="6"/>
  <c r="F25" i="6"/>
  <c r="E25" i="6"/>
  <c r="E70" i="8"/>
  <c r="D70" i="8"/>
  <c r="F69" i="8"/>
  <c r="F60" i="8"/>
  <c r="F59" i="8"/>
  <c r="F68" i="8"/>
  <c r="C58" i="8"/>
  <c r="D16" i="6"/>
  <c r="F16" i="6"/>
  <c r="E16" i="6"/>
  <c r="F62" i="8"/>
  <c r="C113" i="8"/>
  <c r="F71" i="8"/>
  <c r="C71" i="8"/>
  <c r="F72" i="8"/>
  <c r="C72" i="8"/>
  <c r="F73" i="8"/>
  <c r="C73" i="8"/>
  <c r="E94" i="8"/>
  <c r="D94" i="8"/>
  <c r="C61" i="8"/>
  <c r="D20" i="6"/>
  <c r="F20" i="6"/>
  <c r="E20" i="6"/>
  <c r="F99" i="8"/>
  <c r="C95" i="8"/>
  <c r="D34" i="6"/>
  <c r="F96" i="8"/>
  <c r="F97" i="8"/>
  <c r="F25" i="8"/>
  <c r="E27" i="8"/>
  <c r="D57" i="6"/>
  <c r="D57" i="8"/>
  <c r="D62" i="6"/>
  <c r="F62" i="6"/>
  <c r="E62" i="6"/>
  <c r="E57" i="8"/>
  <c r="D67" i="6"/>
  <c r="F67" i="6"/>
  <c r="E67" i="6"/>
  <c r="C116" i="8"/>
  <c r="F67" i="8"/>
  <c r="C66" i="8"/>
  <c r="E98" i="8"/>
  <c r="D98" i="8"/>
  <c r="E112" i="8"/>
  <c r="F112" i="8"/>
  <c r="D27" i="6"/>
  <c r="F27" i="6"/>
  <c r="E27" i="6"/>
  <c r="D112" i="8"/>
  <c r="E28" i="8"/>
  <c r="F26" i="8"/>
  <c r="D37" i="6"/>
  <c r="F37" i="6"/>
  <c r="E37" i="6"/>
  <c r="F33" i="6"/>
  <c r="E33" i="6"/>
  <c r="F34" i="6"/>
  <c r="E34" i="6"/>
  <c r="D38" i="6"/>
  <c r="F38" i="6"/>
  <c r="E38" i="6"/>
  <c r="E61" i="8"/>
  <c r="D85" i="6"/>
  <c r="F85" i="6"/>
  <c r="E85" i="6"/>
  <c r="D75" i="6"/>
  <c r="F75" i="6"/>
  <c r="E75" i="6"/>
  <c r="D61" i="8"/>
  <c r="F27" i="8"/>
  <c r="G25" i="8"/>
  <c r="G27" i="8"/>
  <c r="E95" i="8"/>
  <c r="D95" i="8"/>
  <c r="E71" i="8"/>
  <c r="D71" i="8"/>
  <c r="D58" i="6"/>
  <c r="F58" i="6"/>
  <c r="E58" i="6"/>
  <c r="D58" i="8"/>
  <c r="D63" i="6"/>
  <c r="F63" i="6"/>
  <c r="E63" i="6"/>
  <c r="E58" i="8"/>
  <c r="D68" i="6"/>
  <c r="F68" i="6"/>
  <c r="E68" i="6"/>
  <c r="C119" i="8"/>
  <c r="C69" i="8"/>
  <c r="F116" i="8"/>
  <c r="D116" i="8"/>
  <c r="E116" i="8"/>
  <c r="D18" i="6"/>
  <c r="F18" i="6"/>
  <c r="E18" i="6"/>
  <c r="C115" i="8"/>
  <c r="C60" i="8"/>
  <c r="D36" i="6"/>
  <c r="C97" i="8"/>
  <c r="C99" i="8"/>
  <c r="F101" i="8"/>
  <c r="C101" i="8"/>
  <c r="F100" i="8"/>
  <c r="C100" i="8"/>
  <c r="D113" i="8"/>
  <c r="D28" i="6"/>
  <c r="F28" i="6"/>
  <c r="E28" i="6"/>
  <c r="E113" i="8"/>
  <c r="F113" i="8"/>
  <c r="C118" i="8"/>
  <c r="C68" i="8"/>
  <c r="D72" i="8"/>
  <c r="E72" i="8"/>
  <c r="G26" i="8"/>
  <c r="G28" i="8"/>
  <c r="F28" i="8"/>
  <c r="E66" i="8"/>
  <c r="D66" i="8"/>
  <c r="C67" i="8"/>
  <c r="C117" i="8"/>
  <c r="F57" i="6"/>
  <c r="E57" i="6"/>
  <c r="D53" i="6"/>
  <c r="F53" i="6"/>
  <c r="E53" i="6"/>
  <c r="D35" i="6"/>
  <c r="C96" i="8"/>
  <c r="E73" i="8"/>
  <c r="D73" i="8"/>
  <c r="D21" i="6"/>
  <c r="F21" i="6"/>
  <c r="E21" i="6"/>
  <c r="F64" i="8"/>
  <c r="F63" i="8"/>
  <c r="C62" i="8"/>
  <c r="C114" i="8"/>
  <c r="D17" i="6"/>
  <c r="F17" i="6"/>
  <c r="E17" i="6"/>
  <c r="C59" i="8"/>
  <c r="F114" i="8"/>
  <c r="D114" i="8"/>
  <c r="E114" i="8"/>
  <c r="D29" i="6"/>
  <c r="F29" i="6"/>
  <c r="E29" i="6"/>
  <c r="F35" i="6"/>
  <c r="E35" i="6"/>
  <c r="D39" i="6"/>
  <c r="F39" i="6"/>
  <c r="E39" i="6"/>
  <c r="D76" i="6"/>
  <c r="F76" i="6"/>
  <c r="E76" i="6"/>
  <c r="D62" i="8"/>
  <c r="E62" i="8"/>
  <c r="D86" i="6"/>
  <c r="F86" i="6"/>
  <c r="E86" i="6"/>
  <c r="E100" i="8"/>
  <c r="D100" i="8"/>
  <c r="F36" i="6"/>
  <c r="E36" i="6"/>
  <c r="D40" i="6"/>
  <c r="F40" i="6"/>
  <c r="E40" i="6"/>
  <c r="F119" i="8"/>
  <c r="E119" i="8"/>
  <c r="D119" i="8"/>
  <c r="E67" i="8"/>
  <c r="D67" i="8"/>
  <c r="F118" i="8"/>
  <c r="D118" i="8"/>
  <c r="E118" i="8"/>
  <c r="E97" i="8"/>
  <c r="D97" i="8"/>
  <c r="D69" i="8"/>
  <c r="E69" i="8"/>
  <c r="D59" i="6"/>
  <c r="F59" i="6"/>
  <c r="E59" i="6"/>
  <c r="D59" i="8"/>
  <c r="D64" i="6"/>
  <c r="F64" i="6"/>
  <c r="E64" i="6"/>
  <c r="E59" i="8"/>
  <c r="D101" i="8"/>
  <c r="E101" i="8"/>
  <c r="D60" i="8"/>
  <c r="D65" i="6"/>
  <c r="F65" i="6"/>
  <c r="E65" i="6"/>
  <c r="E60" i="8"/>
  <c r="D60" i="6"/>
  <c r="F60" i="6"/>
  <c r="E60" i="6"/>
  <c r="C63" i="8"/>
  <c r="D22" i="6"/>
  <c r="F22" i="6"/>
  <c r="E22" i="6"/>
  <c r="D23" i="6"/>
  <c r="F23" i="6"/>
  <c r="E23" i="6"/>
  <c r="C64" i="8"/>
  <c r="D96" i="8"/>
  <c r="E96" i="8"/>
  <c r="E117" i="8"/>
  <c r="F117" i="8"/>
  <c r="D117" i="8"/>
  <c r="D68" i="8"/>
  <c r="E68" i="8"/>
  <c r="D99" i="8"/>
  <c r="E99" i="8"/>
  <c r="D30" i="6"/>
  <c r="F30" i="6"/>
  <c r="E30" i="6"/>
  <c r="D115" i="8"/>
  <c r="F115" i="8"/>
  <c r="E115" i="8"/>
  <c r="D77" i="6"/>
  <c r="F77" i="6"/>
  <c r="E77" i="6"/>
  <c r="E63" i="8"/>
  <c r="D87" i="6"/>
  <c r="F87" i="6"/>
  <c r="E87" i="6"/>
  <c r="D63" i="8"/>
  <c r="D78" i="6"/>
  <c r="F78" i="6"/>
  <c r="E78" i="6"/>
  <c r="E64" i="8"/>
  <c r="D88" i="6"/>
  <c r="F88" i="6"/>
  <c r="E88" i="6"/>
  <c r="D64" i="8"/>
</calcChain>
</file>

<file path=xl/sharedStrings.xml><?xml version="1.0" encoding="utf-8"?>
<sst xmlns="http://schemas.openxmlformats.org/spreadsheetml/2006/main" count="316" uniqueCount="234">
  <si>
    <t>Permanente</t>
  </si>
  <si>
    <t>Classificazione dei comuni</t>
  </si>
  <si>
    <t>Tariffa</t>
  </si>
  <si>
    <t>Comuni con oltre 500.000 abitanti</t>
  </si>
  <si>
    <t>euro 70,00</t>
  </si>
  <si>
    <t>Comuni con oltre 100.000 fino a 500.000 abitanti</t>
  </si>
  <si>
    <t>euro 60,00</t>
  </si>
  <si>
    <t>Comuni con oltre 30.000 fino a 100.000 abitanti</t>
  </si>
  <si>
    <t>euro 50,00</t>
  </si>
  <si>
    <t>Comuni con oltre 10.000 fino a 30.000 abitanti</t>
  </si>
  <si>
    <t>euro 40,00</t>
  </si>
  <si>
    <t>Comuni fino a 10,000 abitanti</t>
  </si>
  <si>
    <t>euro 30,00</t>
  </si>
  <si>
    <t>Temporanea</t>
  </si>
  <si>
    <t>euro 2,00</t>
  </si>
  <si>
    <t>euro 1,30</t>
  </si>
  <si>
    <t>euro 1,20</t>
  </si>
  <si>
    <t>euro 0,70</t>
  </si>
  <si>
    <t>euro 0,60</t>
  </si>
  <si>
    <t>Inserire nelle colonne "D7" e "D9" le tariffe di riferimento</t>
  </si>
  <si>
    <t>Definire nelle colonne "F7" e "F9" la percentuale di riduzione per individuare la tariffa "Zona2"</t>
  </si>
  <si>
    <t>Popolare la colonna "D" (da "D15") con le tariffe in vigore</t>
  </si>
  <si>
    <t xml:space="preserve">DIRITTI SULLE PUBBLICHE AFFISSIONI  </t>
  </si>
  <si>
    <t>D.LGS. N. 507 DEL 15.11.93   E SUCCESSIVE MODIFICAZIONI</t>
  </si>
  <si>
    <t>LEGGE 145/2018 COMMA 919</t>
  </si>
  <si>
    <t>ex-LEGGE N. 449 DEL 27.12.97 ART. 11 COMMA 10</t>
  </si>
  <si>
    <t>ex-LEGGE N. 488 DEL 23.12.99 ART. 30 COMMA 17</t>
  </si>
  <si>
    <t>EURO</t>
  </si>
  <si>
    <t>COMUNE DI CLASSE</t>
  </si>
  <si>
    <t>CAT. SPEC.</t>
  </si>
  <si>
    <t>Aumento deliberato</t>
  </si>
  <si>
    <r>
      <rPr>
        <sz val="12"/>
        <color indexed="8"/>
        <rFont val="Times New Roman"/>
        <family val="1"/>
      </rPr>
      <t xml:space="preserve">ART. 19  - </t>
    </r>
    <r>
      <rPr>
        <u/>
        <sz val="12"/>
        <color indexed="8"/>
        <rFont val="Times New Roman"/>
        <family val="1"/>
      </rPr>
      <t>TARIFFE PER CIASCUN FOGLIO DI CM. 70 x 100 O FRAZIONI</t>
    </r>
  </si>
  <si>
    <t>Superfici inferiori a mq. 1</t>
  </si>
  <si>
    <t>Superfici superiori a mq. 1</t>
  </si>
  <si>
    <t>TARIFFA PER I PRIMI 10 GG</t>
  </si>
  <si>
    <t xml:space="preserve">TARIFFA PER IL PERIODO SUCCESSIVO DI 5 GIORNI O FRAZIONE </t>
  </si>
  <si>
    <t>Manifesti di cm. 70 x  100</t>
  </si>
  <si>
    <t>70 X 100 = Fogli</t>
  </si>
  <si>
    <t>Manifesti di cm. 100 x 140</t>
  </si>
  <si>
    <t>100 X 140 = Fogli</t>
  </si>
  <si>
    <t>Manifesti di cm. 140 x 200</t>
  </si>
  <si>
    <t>140 X 200 = Fogli</t>
  </si>
  <si>
    <t>Manifesti di m. 6 x 3</t>
  </si>
  <si>
    <t>6 X 3 = Fogli</t>
  </si>
  <si>
    <t xml:space="preserve">Fino a gg.: </t>
  </si>
  <si>
    <r>
      <t xml:space="preserve">CAT.SPECIALE </t>
    </r>
    <r>
      <rPr>
        <b/>
        <sz val="8"/>
        <color indexed="8"/>
        <rFont val="Arial"/>
        <family val="2"/>
      </rPr>
      <t>Superfici inferiori a mq. 1</t>
    </r>
  </si>
  <si>
    <r>
      <t xml:space="preserve">CAT.SPECIALE </t>
    </r>
    <r>
      <rPr>
        <b/>
        <sz val="8"/>
        <color indexed="8"/>
        <rFont val="Arial"/>
        <family val="2"/>
      </rPr>
      <t>Superfici superiori a mq. 1</t>
    </r>
  </si>
  <si>
    <t>N.B.</t>
  </si>
  <si>
    <r>
      <rPr>
        <sz val="12"/>
        <color indexed="8"/>
        <rFont val="Wingdings"/>
        <charset val="2"/>
      </rPr>
      <t>§</t>
    </r>
    <r>
      <rPr>
        <sz val="12"/>
        <color indexed="8"/>
        <rFont val="Times New Roman"/>
        <family val="1"/>
      </rPr>
      <t>Per ogni commissione inferiore a cinquanta fogli il diritto è maggiorato del 50%</t>
    </r>
  </si>
  <si>
    <r>
      <rPr>
        <sz val="12"/>
        <color indexed="8"/>
        <rFont val="Wingdings"/>
        <charset val="2"/>
      </rPr>
      <t>§</t>
    </r>
    <r>
      <rPr>
        <sz val="12"/>
        <color indexed="8"/>
        <rFont val="Times New Roman"/>
        <family val="1"/>
      </rPr>
      <t xml:space="preserve">Per i manifesti costituiti da otto fino a dodici fogli il diritto è maggiorato del 50% </t>
    </r>
  </si>
  <si>
    <r>
      <rPr>
        <sz val="12"/>
        <color indexed="8"/>
        <rFont val="Wingdings"/>
        <charset val="2"/>
      </rPr>
      <t>§</t>
    </r>
    <r>
      <rPr>
        <sz val="12"/>
        <color indexed="8"/>
        <rFont val="Times New Roman"/>
        <family val="1"/>
      </rPr>
      <t>Per i manifesti costituiti da più di dodici fogli il diritto è maggiorato del 100%</t>
    </r>
  </si>
  <si>
    <t>ART. 22 – DIRITTI DI URGENZA                                       L. 50.000</t>
  </si>
  <si>
    <t xml:space="preserve">N.B.: nel periodo dal 01.06 al  30.09  dovrà  essere applicata la maggiorazione del    50%                                                                                 
per aumento stagionale esclusivamente sui  diritti per le pubbliche affissioni ed imposta sulla pubblicità temporanea. </t>
  </si>
  <si>
    <t xml:space="preserve">IMPOSTA SULLA PUBBLICITA'  </t>
  </si>
  <si>
    <t>(superfici SUPERIORI al mq)</t>
  </si>
  <si>
    <t>Aumento per luminosa</t>
  </si>
  <si>
    <r>
      <rPr>
        <sz val="12"/>
        <color indexed="8"/>
        <rFont val="Times New Roman"/>
        <family val="1"/>
      </rPr>
      <t xml:space="preserve">ART. 12 – </t>
    </r>
    <r>
      <rPr>
        <u/>
        <sz val="12"/>
        <color indexed="8"/>
        <rFont val="Times New Roman"/>
        <family val="1"/>
      </rPr>
      <t>TARIFFA PREVISTA PER OGNI MQ. E  PER OGNI ANNO SOLARE</t>
    </r>
  </si>
  <si>
    <t>TIPO</t>
  </si>
  <si>
    <t>1mese o frazione</t>
  </si>
  <si>
    <t>2mesi o frazione</t>
  </si>
  <si>
    <t>3 mesi o frazione</t>
  </si>
  <si>
    <t>1 ANNO</t>
  </si>
  <si>
    <t>Aumento per mq</t>
  </si>
  <si>
    <t>ORDINARIA Superfici fino a mq. 1</t>
  </si>
  <si>
    <t xml:space="preserve">ORDINARIA Superfici comprese tra mq. 1,01 e 5,50 </t>
  </si>
  <si>
    <t xml:space="preserve">ORDINARIA Superfici comprese tra mq. 5,50 e mq. 8,50 </t>
  </si>
  <si>
    <t>ORDINARIA Superfici superiori a mq. 8,50</t>
  </si>
  <si>
    <t>LUMINOSA Superfici fino a mq. 1</t>
  </si>
  <si>
    <t xml:space="preserve">LUMINOSA Superfici comprese tra mq. 1,01 e 5,50 </t>
  </si>
  <si>
    <t xml:space="preserve">LUMINOSA Superfici comprese tra mq. 5,50 e mq. 8,50 </t>
  </si>
  <si>
    <t>LUMINOSA Superfici superiori a mq. 8,50</t>
  </si>
  <si>
    <t>CATEGORIA SPECIALE</t>
  </si>
  <si>
    <t xml:space="preserve"> </t>
  </si>
  <si>
    <t>N.B. :</t>
  </si>
  <si>
    <r>
      <rPr>
        <sz val="10"/>
        <color indexed="8"/>
        <rFont val="Wingdings"/>
        <charset val="2"/>
      </rPr>
      <t>§</t>
    </r>
    <r>
      <rPr>
        <sz val="10"/>
        <color indexed="8"/>
        <rFont val="Times New Roman"/>
        <family val="1"/>
      </rPr>
      <t>Per la pubblicità che abbia superficie compresa tra mq. 5,5, e 8,5 la tariffa di cui sopra è maggiorata del 50%</t>
    </r>
  </si>
  <si>
    <r>
      <rPr>
        <sz val="10"/>
        <color indexed="8"/>
        <rFont val="Wingdings"/>
        <charset val="2"/>
      </rPr>
      <t>§</t>
    </r>
    <r>
      <rPr>
        <sz val="10"/>
        <color indexed="8"/>
        <rFont val="Times New Roman"/>
        <family val="1"/>
      </rPr>
      <t>Per la pubblicità che abbia superficie superiore a mq. 8,5 la tariffa di cui sopra è maggiorata del 100%</t>
    </r>
  </si>
  <si>
    <t>Tali maggiorazioni si applicano sempre sulla tariffa base.</t>
  </si>
  <si>
    <r>
      <rPr>
        <sz val="12"/>
        <color indexed="8"/>
        <rFont val="Times New Roman"/>
        <family val="1"/>
      </rPr>
      <t xml:space="preserve">ART. 13 – </t>
    </r>
    <r>
      <rPr>
        <u/>
        <sz val="12"/>
        <color indexed="8"/>
        <rFont val="Times New Roman"/>
        <family val="1"/>
      </rPr>
      <t>TARIFFA ANNUALE PER AUTOMEZZI PUBBLICITARI ADIBITI AI TRASPORTI DELLA     AZIENDA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</si>
  <si>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AUTOVEICOLI CON PORTATA SUPERIORE A 30 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</si>
  <si>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RIMORCHI CON  PORTATA SUPERIORE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</si>
  <si>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AUTOVEICOLI CON PORTATA INFERIORE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</si>
  <si>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RIMORCHI CON PORTATA INFERIORE A 30 q.li</t>
    </r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</si>
  <si>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MOTOVEICOLI E VEICOLI  NON COMPRESI NELLE PRECEDENTI CATEGORIE</t>
    </r>
  </si>
  <si>
    <r>
      <rPr>
        <sz val="12"/>
        <color indexed="8"/>
        <rFont val="Times New Roman"/>
        <family val="1"/>
      </rPr>
      <t xml:space="preserve">ART. 14 – </t>
    </r>
    <r>
      <rPr>
        <u/>
        <sz val="12"/>
        <color indexed="8"/>
        <rFont val="Times New Roman"/>
        <family val="1"/>
      </rPr>
      <t>TARIFFA PER LA PUBBLICITA’ EFFETTUATA CON PANNELLI LUMINOSI</t>
    </r>
  </si>
  <si>
    <t xml:space="preserve">                  (per ogni metro quadrato di superficie dello schermo o pannello)</t>
  </si>
  <si>
    <t>Superfici fino a mq. 1</t>
  </si>
  <si>
    <t>SPECIALE Superfici fino a mq. 1</t>
  </si>
  <si>
    <t xml:space="preserve">SPECIALE Superfici comprese tra mq. 1,01 e 5,50 </t>
  </si>
  <si>
    <t xml:space="preserve">SPECIALE Superfici comprese tra mq. 5,50 e mq. 8,50 </t>
  </si>
  <si>
    <t>SPECIALE Superfici superiori a mq. 8,50</t>
  </si>
  <si>
    <r>
      <rPr>
        <sz val="12"/>
        <color indexed="8"/>
        <rFont val="Times New Roman"/>
        <family val="1"/>
      </rPr>
      <t xml:space="preserve">ART. 14 </t>
    </r>
    <r>
      <rPr>
        <u/>
        <sz val="12"/>
        <color indexed="8"/>
        <rFont val="Times New Roman"/>
        <family val="1"/>
      </rPr>
      <t>– TARIFFA PER LA PUBBLICITA’ EFFETTUATA ATTRAVERSO PROIEZIONI</t>
    </r>
    <r>
      <rPr>
        <sz val="12"/>
        <color indexed="8"/>
        <rFont val="Times New Roman"/>
        <family val="1"/>
      </rPr>
      <t xml:space="preserve"> </t>
    </r>
  </si>
  <si>
    <t xml:space="preserve">                (in luoghi pubblici o aperti al pubblico)</t>
  </si>
  <si>
    <t xml:space="preserve">               </t>
  </si>
  <si>
    <r>
      <rPr>
        <sz val="12"/>
        <color indexed="8"/>
        <rFont val="Wingdings"/>
        <charset val="2"/>
      </rPr>
      <t>;</t>
    </r>
    <r>
      <rPr>
        <sz val="12"/>
        <color indexed="8"/>
        <rFont val="Times New Roman"/>
        <family val="1"/>
      </rPr>
      <t>Per ogni giorno di esecuzione	-	categoria normale</t>
    </r>
  </si>
  <si>
    <r>
      <rPr>
        <b/>
        <sz val="12"/>
        <color indexed="8"/>
        <rFont val="Wingdings"/>
        <charset val="2"/>
      </rPr>
      <t>;</t>
    </r>
    <r>
      <rPr>
        <b/>
        <sz val="12"/>
        <color indexed="8"/>
        <rFont val="Times New Roman"/>
        <family val="1"/>
      </rPr>
      <t>Per ogni giorno di esecuzione	-	categoria speciale</t>
    </r>
  </si>
  <si>
    <r>
      <rPr>
        <sz val="12"/>
        <color indexed="8"/>
        <rFont val="Times New Roman"/>
        <family val="1"/>
      </rPr>
      <t xml:space="preserve">ART. 15 – </t>
    </r>
    <r>
      <rPr>
        <u/>
        <sz val="12"/>
        <color indexed="8"/>
        <rFont val="Times New Roman"/>
        <family val="1"/>
      </rPr>
      <t>TARIFFA PREVISTA PER OGNI MQ. PER LA PUBBLICITA’ EFFETTUATA CON STRISCIONI O ALTRI MEZZI SIMILARI CHE ATTRAVERSANO STRADE O PIAZZE</t>
    </r>
  </si>
  <si>
    <t>Fino a 15 gg</t>
  </si>
  <si>
    <t>Fino a 30 gg</t>
  </si>
  <si>
    <t>Fino a 45 gg</t>
  </si>
  <si>
    <t>Fino a 60gg</t>
  </si>
  <si>
    <t>Fino a mq. 1</t>
  </si>
  <si>
    <t xml:space="preserve"> ART. 15 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</si>
  <si>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EFFETTUATA CON AEROMOBILI MEDIANTE SCRITTE, STRISCIONI, LANCIO MANIFESTINI, ECC.</t>
    </r>
  </si>
  <si>
    <t>Tariffa al giorno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</si>
  <si>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ESEGUITA CON PALLONI FRENANTI E SIMILI</t>
    </r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</si>
  <si>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EFFETTUATA MEDIANTE DISTRIBUZIONE, ANCHE CON VEICOLI DI MANIFESTINI OD ALTRO MATERIALE PUBBLICITARIO OPPURE MEDIANTE PERSONE CIRCOLANTI CON CARTELLI</t>
    </r>
  </si>
  <si>
    <t>Tariffa al giorno e per ogni persona impiegata</t>
  </si>
  <si>
    <t>CAT.SPECIALE Tariffa al giorno e per ogni persona impiegata</t>
  </si>
  <si>
    <r>
      <rPr>
        <u/>
        <sz val="12"/>
        <color indexed="8"/>
        <rFont val="Wingdings"/>
        <charset val="2"/>
      </rPr>
      <t>;</t>
    </r>
    <r>
      <rPr>
        <u/>
        <sz val="12"/>
        <color indexed="8"/>
        <rFont val="Times New Roman"/>
        <family val="1"/>
      </rPr>
      <t>PUBBLICITA’ EFFETTUATA A MEZZO APPARECCHI AMPLIFICATORI E SIMILI (sonora)</t>
    </r>
  </si>
  <si>
    <t>Tariffa al giorno e per ciascun punto di pubblicità</t>
  </si>
  <si>
    <t>CAT.SPECIALE Tariffa al giorno e per ciascun punto di pubblicità</t>
  </si>
  <si>
    <t>Comune di Portoferraio</t>
  </si>
  <si>
    <t>categoria</t>
  </si>
  <si>
    <t>IV</t>
  </si>
  <si>
    <t>inserire classe</t>
  </si>
  <si>
    <t>aumento sup mq</t>
  </si>
  <si>
    <t>inserire aumento</t>
  </si>
  <si>
    <t>categoria speciale</t>
  </si>
  <si>
    <t>inserire cat spec</t>
  </si>
  <si>
    <t>PERMANENTE</t>
  </si>
  <si>
    <t>TARIFFA STANDARD ZONA 1</t>
  </si>
  <si>
    <t>TEMPORANEA</t>
  </si>
  <si>
    <t>attenzione una volta insertita la classe inserire manualmente la tariffa standard come da info</t>
  </si>
  <si>
    <r>
      <rPr>
        <sz val="10"/>
        <color indexed="8"/>
        <rFont val="Georgia 2"/>
      </rPr>
      <t>T</t>
    </r>
    <r>
      <rPr>
        <sz val="8"/>
        <color indexed="8"/>
        <rFont val="Georgia 2"/>
      </rPr>
      <t xml:space="preserve">IPOLOGIA E </t>
    </r>
    <r>
      <rPr>
        <sz val="10"/>
        <color indexed="8"/>
        <rFont val="Georgia 2"/>
      </rPr>
      <t>S</t>
    </r>
    <r>
      <rPr>
        <sz val="8"/>
        <color indexed="8"/>
        <rFont val="Georgia 2"/>
      </rPr>
      <t>UPERFICI</t>
    </r>
  </si>
  <si>
    <t>GG</t>
  </si>
  <si>
    <t>Tariffe 2009</t>
  </si>
  <si>
    <t>Tariffe 2020</t>
  </si>
  <si>
    <t>Tariffe 2021</t>
  </si>
  <si>
    <t>Coefficiente</t>
  </si>
  <si>
    <t>CATEGORIA NORMALE OPACA</t>
  </si>
  <si>
    <t>1,00 mq</t>
  </si>
  <si>
    <t>&gt; 1,00 = 5,00 MQ</t>
  </si>
  <si>
    <t>&gt;5,01 MQ = 8,00 MQ</t>
  </si>
  <si>
    <t>&gt;8,01 MQ</t>
  </si>
  <si>
    <t>CATEGORIA NORMALE LUMINOSA</t>
  </si>
  <si>
    <t>&gt; 1,00  = 5,00 MQ</t>
  </si>
  <si>
    <t>DIFFUSIONI VARIE</t>
  </si>
  <si>
    <t>VOLANTINAGGIO CN</t>
  </si>
  <si>
    <t>SONORA CN</t>
  </si>
  <si>
    <t>STRISCIONI  1,00 MQ CN</t>
  </si>
  <si>
    <t>STRISCIONI &gt; 1,00 = 5,00 MQ CN</t>
  </si>
  <si>
    <t>STRISCIONI  &gt;5,01 MQ = 8,00 MQ CN</t>
  </si>
  <si>
    <t>STRISCIONI  &gt;8,01 MQ CN</t>
  </si>
  <si>
    <t>Pubbl.visiva effettauta per conto proprio o altrui all'esterno /interno dei veicoli adibiti a uso pubblico o a uso privato   mq.</t>
  </si>
  <si>
    <t>Pubbl.visiva effettauta per conto proprio o altrui all'esterno /interno di veicoli,con i cosiddeti camion vela  mq.</t>
  </si>
  <si>
    <t xml:space="preserve">Pannelli luminosi  fino a 1,00 MQ CN </t>
  </si>
  <si>
    <t xml:space="preserve">Pannelli luminosi  fino a 5,00 MQ CN </t>
  </si>
  <si>
    <t xml:space="preserve">Pannelli luminosi  &gt;5,01 MQ = 8,00 MQ CN </t>
  </si>
  <si>
    <t xml:space="preserve">Pannelli luminosi  &gt;8,01 MQ CN </t>
  </si>
  <si>
    <t xml:space="preserve">Pannelli luminosi in proprio  fino a 1,00 MQ CN </t>
  </si>
  <si>
    <t xml:space="preserve">Pannelli luminosi in proprio  fino a 5,00 MQ CN </t>
  </si>
  <si>
    <t xml:space="preserve">Pannelli luminosi in proprio  &gt;5,01 MQ = 8,00 MQ CN </t>
  </si>
  <si>
    <t xml:space="preserve">Pannelli luminosi in proprio  &gt;8,01 MQ CN </t>
  </si>
  <si>
    <t>Proiezioni/diap. CN</t>
  </si>
  <si>
    <t>Aeromobili</t>
  </si>
  <si>
    <t>Palloni frenati</t>
  </si>
  <si>
    <t>DIRITTI PUBBLICHE AFFISSIONI</t>
  </si>
  <si>
    <t>Manif 1 mq gg 10 CN</t>
  </si>
  <si>
    <t>Manif 1 mq gg 10  CS</t>
  </si>
  <si>
    <t>5 GG  succ. CN 1 MQ</t>
  </si>
  <si>
    <t>5 GG  succ. CS 1 MQ</t>
  </si>
  <si>
    <t>Manif &gt; 1 mq  gg10  CN</t>
  </si>
  <si>
    <t>Manif &gt; 1 mq  gg10  CS</t>
  </si>
  <si>
    <t>5 GG succ. CN &gt; 1 MQ</t>
  </si>
  <si>
    <t>5 GG succ.  CS &gt; 1 MQ</t>
  </si>
  <si>
    <t>Locandine CN</t>
  </si>
  <si>
    <t xml:space="preserve">CARTELLI TEMPORANEA </t>
  </si>
  <si>
    <t>CARTELLI  IN FORMA OPACA</t>
  </si>
  <si>
    <t>CARTELLI  FINO A 1      CN</t>
  </si>
  <si>
    <t>CARTELLI  FINO A 5     CN</t>
  </si>
  <si>
    <t>CARTELLI DA 5,01 A 8   CN</t>
  </si>
  <si>
    <t>CARTELLI SUP 8   CN</t>
  </si>
  <si>
    <t>CARTELLI  FINO A 1   CN</t>
  </si>
  <si>
    <t>CARTELLI  FINO A 51    CN</t>
  </si>
  <si>
    <t>CARTELLI IN FORMA LUMINOSA</t>
  </si>
  <si>
    <t>CARTELLI  FINO A 1     CN</t>
  </si>
  <si>
    <t>CARTELLI  FINO A 1    CN</t>
  </si>
  <si>
    <t>COMUNE DI  Portoferraio
TARIFFE STANDARD PER CIASCUN FOGLIO DI CM. 70x100 O FRAZIONI</t>
  </si>
  <si>
    <t>TARIFFA GIORNALIERA STANDARD</t>
  </si>
  <si>
    <t>FINO A GIORNI O FRAZIONE</t>
  </si>
  <si>
    <t>superfici inferiori a mq.1</t>
  </si>
  <si>
    <t>coefficente</t>
  </si>
  <si>
    <t xml:space="preserve">                                    superfici superiori a mq.1 </t>
  </si>
  <si>
    <t>MANIFESTI DI CM. 70x100 oppure 100x70</t>
  </si>
  <si>
    <t>FOGLI</t>
  </si>
  <si>
    <t>MANIFESTI DI CM. 100x140 oppure 140x100</t>
  </si>
  <si>
    <t>MANIFESTI DI CM. 140x200 oppure 200X140</t>
  </si>
  <si>
    <t>MANIFESTI DI M. 6x3</t>
  </si>
  <si>
    <t>NB:</t>
  </si>
  <si>
    <t>PER OGNI COMMISSIONE INFERIORE A 50 FOGLI IL CANONE E' MAGGIORATO DEL 50%</t>
  </si>
  <si>
    <t>PER I MANIFESTI COSTITUITI DA OTTO FINO A DODICI FOGLI IL CANONE E' MAGGIORATO DEL 50%</t>
  </si>
  <si>
    <t>PER I MANIFESTI COSTITUITI DA PIU' DI DODICI FOGLI IL CANONE E' MAGGIORATO DEL 100%</t>
  </si>
  <si>
    <t>Per l’esecuzione del servizio di affissione richiesto per il giorno in cui è stato consegnato il</t>
  </si>
  <si>
    <t>materiale da affiggere o entro i due giorni successivi,  ovvero per le ore notturne dalle 20 alle</t>
  </si>
  <si>
    <t>07,00, o nei giorni festivi, è dovuta la maggiorazione del 10 per cento del  canone, con un minimo</t>
  </si>
  <si>
    <t>di Euro 30,00 per ciascuna commissione.</t>
  </si>
  <si>
    <r>
      <rPr>
        <sz val="10"/>
        <color indexed="8"/>
        <rFont val="Georgia"/>
        <family val="1"/>
      </rPr>
      <t>T</t>
    </r>
    <r>
      <rPr>
        <sz val="8"/>
        <color indexed="8"/>
        <rFont val="Georgia"/>
        <family val="1"/>
      </rPr>
      <t xml:space="preserve">IPOLOGIA E </t>
    </r>
    <r>
      <rPr>
        <sz val="10"/>
        <color indexed="8"/>
        <rFont val="Georgia"/>
        <family val="1"/>
      </rPr>
      <t>S</t>
    </r>
    <r>
      <rPr>
        <sz val="8"/>
        <color indexed="8"/>
        <rFont val="Georgia"/>
        <family val="1"/>
      </rPr>
      <t>UPERFICI</t>
    </r>
    <r>
      <rPr>
        <sz val="10"/>
        <color indexed="8"/>
        <rFont val="Georgia"/>
        <family val="1"/>
      </rPr>
      <t>T</t>
    </r>
    <r>
      <rPr>
        <sz val="8"/>
        <color indexed="8"/>
        <rFont val="Georgia"/>
        <family val="1"/>
      </rPr>
      <t xml:space="preserve">IPOLOGIA E </t>
    </r>
    <r>
      <rPr>
        <sz val="10"/>
        <color indexed="8"/>
        <rFont val="Georgia"/>
        <family val="1"/>
      </rPr>
      <t>S</t>
    </r>
    <r>
      <rPr>
        <sz val="8"/>
        <color indexed="8"/>
        <rFont val="Georgia"/>
        <family val="1"/>
      </rPr>
      <t>UPERFICI</t>
    </r>
    <r>
      <rPr>
        <sz val="10"/>
        <color indexed="8"/>
        <rFont val="Georgia"/>
        <family val="1"/>
      </rPr>
      <t>T</t>
    </r>
    <r>
      <rPr>
        <sz val="8"/>
        <color indexed="8"/>
        <rFont val="Georgia"/>
        <family val="1"/>
      </rPr>
      <t xml:space="preserve">IPOLOGIA E </t>
    </r>
    <r>
      <rPr>
        <sz val="10"/>
        <color indexed="8"/>
        <rFont val="Georgia"/>
        <family val="1"/>
      </rPr>
      <t>S</t>
    </r>
    <r>
      <rPr>
        <sz val="8"/>
        <color indexed="8"/>
        <rFont val="Georgia"/>
        <family val="1"/>
      </rPr>
      <t>UPERFICI</t>
    </r>
  </si>
  <si>
    <r>
      <t>Tariffe 2008</t>
    </r>
    <r>
      <rPr>
        <sz val="10"/>
        <color indexed="8"/>
        <rFont val="Georgia"/>
        <family val="1"/>
      </rPr>
      <t>Tariffe 2008Tariffe 2008</t>
    </r>
  </si>
  <si>
    <r>
      <t>Tariffe 2009</t>
    </r>
    <r>
      <rPr>
        <sz val="10"/>
        <color indexed="8"/>
        <rFont val="Georgia"/>
        <family val="1"/>
      </rPr>
      <t>Tariffe 2009Tariffe 2009</t>
    </r>
  </si>
  <si>
    <t>CATEGORIA NORMALE ORDINARIACATEGORIA NORMALE ORDINARIACATEGORIA NORMALE ORDINARIA</t>
  </si>
  <si>
    <r>
      <t>1 MQ</t>
    </r>
    <r>
      <rPr>
        <sz val="10"/>
        <color indexed="8"/>
        <rFont val="Georgia"/>
        <family val="1"/>
      </rPr>
      <t>1 MQ1 MQ</t>
    </r>
  </si>
  <si>
    <r>
      <t>&gt; 1 MQ</t>
    </r>
    <r>
      <rPr>
        <sz val="10"/>
        <color indexed="8"/>
        <rFont val="Georgia"/>
        <family val="1"/>
      </rPr>
      <t>&gt; 1 MQ&gt; 1 MQ</t>
    </r>
  </si>
  <si>
    <r>
      <t>&gt;5,51mq &lt;8,50</t>
    </r>
    <r>
      <rPr>
        <sz val="10"/>
        <color indexed="8"/>
        <rFont val="Georgia"/>
        <family val="1"/>
      </rPr>
      <t>&gt;5,51mq &lt;8,50&gt;5,51mq &lt;8,50</t>
    </r>
  </si>
  <si>
    <r>
      <t>&gt;8,51 MQ</t>
    </r>
    <r>
      <rPr>
        <sz val="10"/>
        <color indexed="8"/>
        <rFont val="Georgia"/>
        <family val="1"/>
      </rPr>
      <t>&gt;8,51 MQ&gt;8,51 MQ</t>
    </r>
  </si>
  <si>
    <t>CATEGORIA NORMALE LUMINOSACATEGORIA NORMALE LUMINOSACATEGORIA NORMALE LUMINOSA</t>
  </si>
  <si>
    <r>
      <t>&gt;5,51MQ&lt;8,50</t>
    </r>
    <r>
      <rPr>
        <sz val="10"/>
        <color indexed="8"/>
        <rFont val="Georgia"/>
        <family val="1"/>
      </rPr>
      <t>&gt;5,51MQ&lt;8,50&gt;5,51MQ&lt;8,50</t>
    </r>
  </si>
  <si>
    <t>CATEGORIA SPECIALE ORDINARIACATEGORIA SPECIALE ORDINARIACATEGORIA SPECIALE ORDINARIA</t>
  </si>
  <si>
    <r>
      <t>&gt;1 MQ</t>
    </r>
    <r>
      <rPr>
        <sz val="10"/>
        <color indexed="8"/>
        <rFont val="Georgia"/>
        <family val="1"/>
      </rPr>
      <t>&gt;1 MQ&gt;1 MQ</t>
    </r>
  </si>
  <si>
    <t>CATEGORIA SPECIALE LUMINOSACATEGORIA SPECIALE LUMINOSA</t>
  </si>
  <si>
    <r>
      <t>1 MQ</t>
    </r>
    <r>
      <rPr>
        <sz val="10"/>
        <color indexed="8"/>
        <rFont val="Georgia"/>
        <family val="1"/>
      </rPr>
      <t>1 MQ</t>
    </r>
  </si>
  <si>
    <r>
      <t>&gt;1MQ</t>
    </r>
    <r>
      <rPr>
        <sz val="10"/>
        <color indexed="8"/>
        <rFont val="Georgia"/>
        <family val="1"/>
      </rPr>
      <t>&gt;1MQ</t>
    </r>
  </si>
  <si>
    <r>
      <t>&gt;5,51MQ&lt;8,50</t>
    </r>
    <r>
      <rPr>
        <sz val="10"/>
        <color indexed="8"/>
        <rFont val="Georgia"/>
        <family val="1"/>
      </rPr>
      <t>&gt;5,51MQ&lt;8,50</t>
    </r>
  </si>
  <si>
    <r>
      <t>&gt;8,51MQ</t>
    </r>
    <r>
      <rPr>
        <sz val="10"/>
        <color indexed="8"/>
        <rFont val="Georgia"/>
        <family val="1"/>
      </rPr>
      <t>&gt;8,51MQ</t>
    </r>
  </si>
  <si>
    <t>PUBBLICITA' VARIEPUBBLICITA' VARIE</t>
  </si>
  <si>
    <r>
      <t>VOLANTINAGGIO</t>
    </r>
    <r>
      <rPr>
        <sz val="10"/>
        <color indexed="8"/>
        <rFont val="Georgia"/>
        <family val="1"/>
      </rPr>
      <t>VOLANTINAGGIO</t>
    </r>
  </si>
  <si>
    <r>
      <t>SONORA</t>
    </r>
    <r>
      <rPr>
        <sz val="10"/>
        <color indexed="8"/>
        <rFont val="Georgia"/>
        <family val="1"/>
      </rPr>
      <t>SONORA</t>
    </r>
  </si>
  <si>
    <r>
      <t>STRISCIONI al mq CN</t>
    </r>
    <r>
      <rPr>
        <sz val="10"/>
        <color indexed="8"/>
        <rFont val="Georgia"/>
        <family val="1"/>
      </rPr>
      <t>STRISCIONI al mq CN</t>
    </r>
  </si>
  <si>
    <r>
      <t>STRISCIONI al mq CS</t>
    </r>
    <r>
      <rPr>
        <sz val="10"/>
        <color indexed="8"/>
        <rFont val="Georgia"/>
        <family val="1"/>
      </rPr>
      <t>STRISCIONI al mq CS</t>
    </r>
  </si>
  <si>
    <r>
      <t>AUTOMEZZI inf 30 q.li</t>
    </r>
    <r>
      <rPr>
        <sz val="10"/>
        <color indexed="8"/>
        <rFont val="Georgia"/>
        <family val="1"/>
      </rPr>
      <t>AUTOMEZZI inf 30 q.li</t>
    </r>
  </si>
  <si>
    <r>
      <t>AUTOMEZZI sup 30 q.li</t>
    </r>
    <r>
      <rPr>
        <sz val="10"/>
        <color indexed="8"/>
        <rFont val="Georgia"/>
        <family val="1"/>
      </rPr>
      <t>AUTOMEZZI sup 30 q.li</t>
    </r>
  </si>
  <si>
    <r>
      <t>MOTOVEICOLI</t>
    </r>
    <r>
      <rPr>
        <sz val="10"/>
        <color indexed="8"/>
        <rFont val="Georgia"/>
        <family val="1"/>
      </rPr>
      <t>MOTOVEICOLI</t>
    </r>
  </si>
  <si>
    <r>
      <t>RIMORCHI inf 30 q.li</t>
    </r>
    <r>
      <rPr>
        <sz val="10"/>
        <color indexed="8"/>
        <rFont val="Georgia"/>
        <family val="1"/>
      </rPr>
      <t>RIMORCHI inf 30 q.li</t>
    </r>
  </si>
  <si>
    <r>
      <t>RIMORCHI sup 30 q.li</t>
    </r>
    <r>
      <rPr>
        <sz val="10"/>
        <color indexed="8"/>
        <rFont val="Georgia"/>
        <family val="1"/>
      </rPr>
      <t>RIMORCHI sup 30 q.li</t>
    </r>
  </si>
  <si>
    <r>
      <t>Pubbl.veic./interna 1 mq</t>
    </r>
    <r>
      <rPr>
        <sz val="10"/>
        <color indexed="8"/>
        <rFont val="Georgia"/>
        <family val="1"/>
      </rPr>
      <t>Pubbl.veic./interna 1 mq</t>
    </r>
  </si>
  <si>
    <t>Pubbl.veic./esterna 1mq</t>
  </si>
  <si>
    <t>Pubbl.veic./esterna&gt;1mq</t>
  </si>
  <si>
    <t>Pubbl.veic./esterna&gt;5,51 mq &lt;8,50</t>
  </si>
  <si>
    <t>Pubbl.veic./esterna&gt;8.50 mq</t>
  </si>
  <si>
    <t>Pannelli luminosi  CN 1 MQ</t>
  </si>
  <si>
    <t>Pannelli luminosi  CS 1 MQ</t>
  </si>
  <si>
    <t>Pannelli lum. in proprio CN 1 MQ</t>
  </si>
  <si>
    <t>Pannelli lum. in proprio  CS 1 MQ</t>
  </si>
  <si>
    <t>Proiezioni/diap. CS</t>
  </si>
  <si>
    <r>
      <rPr>
        <sz val="12"/>
        <color indexed="8"/>
        <rFont val="Georgia"/>
        <family val="1"/>
      </rPr>
      <t xml:space="preserve">- </t>
    </r>
    <r>
      <rPr>
        <sz val="9"/>
        <color indexed="10"/>
        <rFont val="Georgia"/>
        <family val="1"/>
      </rPr>
      <t xml:space="preserve">Per le tariffe riportate in rosso non è possibile </t>
    </r>
    <r>
      <rPr>
        <sz val="9"/>
        <color indexed="10"/>
        <rFont val="Georgia"/>
        <family val="1"/>
      </rPr>
      <t>l’applicazione della riduzione (Legge 488/99)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</si>
</sst>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;[Red]0.00"/>
    <numFmt numFmtId="166" formatCode="[$-410]General"/>
    <numFmt numFmtId="167" formatCode="[$€-410]&quot; &quot;#,##0.00;[Red]&quot;-&quot;[$€-410]&quot; &quot;#,##0.00"/>
    <numFmt numFmtId="168" formatCode="0.000"/>
    <numFmt numFmtId="169" formatCode="&quot;€&quot;\ #,##0.00"/>
  </numFmts>
  <fonts count="59">
    <font>
      <sz val="11"/>
      <color theme="1"/>
      <name val="Arial"/>
      <family val="2"/>
    </font>
    <font>
      <sz val="10"/>
      <color indexed="8"/>
      <name val="Georgia"/>
      <family val="1"/>
    </font>
    <font>
      <sz val="8"/>
      <color indexed="8"/>
      <name val="Georgia"/>
      <family val="1"/>
    </font>
    <font>
      <sz val="12"/>
      <color indexed="8"/>
      <name val="Georgia"/>
      <family val="1"/>
    </font>
    <font>
      <sz val="9"/>
      <color indexed="10"/>
      <name val="Georgia"/>
      <family val="1"/>
    </font>
    <font>
      <sz val="10"/>
      <color indexed="8"/>
      <name val="Georgia 2"/>
    </font>
    <font>
      <sz val="8"/>
      <color indexed="8"/>
      <name val="Georgia 2"/>
    </font>
    <font>
      <sz val="10"/>
      <color indexed="8"/>
      <name val="Times New Roman"/>
      <family val="1"/>
    </font>
    <font>
      <sz val="10"/>
      <name val="Georgia 2"/>
    </font>
    <font>
      <sz val="10"/>
      <name val="Times New Roman"/>
      <family val="1"/>
    </font>
    <font>
      <sz val="9"/>
      <name val="Georgia 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20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Wingdings"/>
      <charset val="2"/>
    </font>
    <font>
      <i/>
      <sz val="10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Wingdings"/>
      <charset val="2"/>
    </font>
    <font>
      <b/>
      <u/>
      <sz val="6"/>
      <color indexed="8"/>
      <name val="Arial"/>
      <family val="2"/>
    </font>
    <font>
      <b/>
      <sz val="12"/>
      <color indexed="8"/>
      <name val="Wingdings"/>
      <charset val="2"/>
    </font>
    <font>
      <b/>
      <sz val="12"/>
      <color indexed="8"/>
      <name val="Times New Roman"/>
      <family val="1"/>
    </font>
    <font>
      <sz val="8"/>
      <name val="Arial"/>
      <family val="2"/>
    </font>
    <font>
      <u/>
      <sz val="12"/>
      <color indexed="8"/>
      <name val="Wingdings"/>
      <charset val="2"/>
    </font>
    <font>
      <b/>
      <sz val="10"/>
      <name val="Georgia 2"/>
    </font>
    <font>
      <b/>
      <sz val="11"/>
      <name val="Georgia 2"/>
    </font>
    <font>
      <b/>
      <u/>
      <sz val="11"/>
      <name val="Georgia 2"/>
    </font>
    <font>
      <b/>
      <sz val="18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sz val="10"/>
      <color rgb="FF000000"/>
      <name val="Georgia1"/>
    </font>
    <font>
      <sz val="9"/>
      <color rgb="FF000000"/>
      <name val="Georgia2"/>
    </font>
    <font>
      <sz val="11"/>
      <color rgb="FF000000"/>
      <name val="Georgia1"/>
    </font>
    <font>
      <sz val="10"/>
      <color rgb="FF000000"/>
      <name val="Times New Roman1"/>
    </font>
    <font>
      <sz val="10"/>
      <color rgb="FF000000"/>
      <name val="Georgia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8"/>
      <color rgb="FF000000"/>
      <name val="Georgia2"/>
    </font>
    <font>
      <sz val="10"/>
      <color rgb="FF000000"/>
      <name val="Georgia 2"/>
    </font>
    <font>
      <b/>
      <sz val="10"/>
      <color rgb="FF000000"/>
      <name val="Georgia 2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Georgia2"/>
    </font>
    <font>
      <sz val="11"/>
      <color rgb="FF0000FF"/>
      <name val="Georgia"/>
      <family val="1"/>
    </font>
    <font>
      <sz val="11"/>
      <color rgb="FFFF00FF"/>
      <name val="Georgia"/>
      <family val="1"/>
    </font>
    <font>
      <sz val="11"/>
      <color rgb="FFFF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DCD9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166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/>
    <xf numFmtId="167" fontId="38" fillId="0" borderId="0"/>
  </cellStyleXfs>
  <cellXfs count="305">
    <xf numFmtId="0" fontId="0" fillId="0" borderId="0" xfId="0"/>
    <xf numFmtId="166" fontId="39" fillId="0" borderId="0" xfId="1" applyFont="1" applyFill="1" applyBorder="1" applyAlignment="1">
      <alignment horizontal="right" vertical="top"/>
    </xf>
    <xf numFmtId="166" fontId="36" fillId="0" borderId="0" xfId="1"/>
    <xf numFmtId="166" fontId="40" fillId="0" borderId="47" xfId="1" applyFont="1" applyFill="1" applyBorder="1" applyAlignment="1">
      <alignment horizontal="left" vertical="top" wrapText="1"/>
    </xf>
    <xf numFmtId="166" fontId="41" fillId="0" borderId="47" xfId="1" applyFont="1" applyFill="1" applyBorder="1" applyAlignment="1">
      <alignment horizontal="left" vertical="top" wrapText="1"/>
    </xf>
    <xf numFmtId="166" fontId="40" fillId="0" borderId="47" xfId="1" applyFont="1" applyFill="1" applyBorder="1" applyAlignment="1">
      <alignment horizontal="left" vertical="center" wrapText="1" indent="6"/>
    </xf>
    <xf numFmtId="166" fontId="40" fillId="0" borderId="48" xfId="1" applyFont="1" applyFill="1" applyBorder="1" applyAlignment="1">
      <alignment horizontal="left" vertical="top" wrapText="1" indent="4"/>
    </xf>
    <xf numFmtId="166" fontId="40" fillId="0" borderId="49" xfId="1" applyFont="1" applyFill="1" applyBorder="1" applyAlignment="1">
      <alignment horizontal="center" vertical="top" wrapText="1"/>
    </xf>
    <xf numFmtId="165" fontId="42" fillId="0" borderId="48" xfId="1" applyNumberFormat="1" applyFont="1" applyFill="1" applyBorder="1" applyAlignment="1">
      <alignment horizontal="right" vertical="top" shrinkToFit="1"/>
    </xf>
    <xf numFmtId="165" fontId="42" fillId="0" borderId="49" xfId="1" applyNumberFormat="1" applyFont="1" applyFill="1" applyBorder="1" applyAlignment="1">
      <alignment horizontal="center" vertical="top" shrinkToFit="1"/>
    </xf>
    <xf numFmtId="2" fontId="42" fillId="0" borderId="48" xfId="1" applyNumberFormat="1" applyFont="1" applyFill="1" applyBorder="1" applyAlignment="1">
      <alignment horizontal="right" vertical="top" shrinkToFit="1"/>
    </xf>
    <xf numFmtId="2" fontId="42" fillId="0" borderId="49" xfId="1" applyNumberFormat="1" applyFont="1" applyFill="1" applyBorder="1" applyAlignment="1">
      <alignment horizontal="center" vertical="top" shrinkToFit="1"/>
    </xf>
    <xf numFmtId="166" fontId="43" fillId="0" borderId="0" xfId="1" applyFont="1" applyFill="1" applyBorder="1" applyAlignment="1">
      <alignment horizontal="left" vertical="top"/>
    </xf>
    <xf numFmtId="165" fontId="42" fillId="0" borderId="49" xfId="1" applyNumberFormat="1" applyFont="1" applyFill="1" applyBorder="1" applyAlignment="1">
      <alignment horizontal="left" vertical="top" indent="3" shrinkToFit="1"/>
    </xf>
    <xf numFmtId="2" fontId="42" fillId="0" borderId="49" xfId="1" applyNumberFormat="1" applyFont="1" applyFill="1" applyBorder="1" applyAlignment="1">
      <alignment horizontal="left" vertical="top" indent="3" shrinkToFit="1"/>
    </xf>
    <xf numFmtId="166" fontId="36" fillId="0" borderId="0" xfId="1" applyFill="1" applyBorder="1" applyAlignment="1">
      <alignment horizontal="left" vertical="top"/>
    </xf>
    <xf numFmtId="1" fontId="44" fillId="0" borderId="0" xfId="1" applyNumberFormat="1" applyFont="1" applyFill="1" applyBorder="1" applyAlignment="1">
      <alignment horizontal="left" vertical="top" shrinkToFit="1"/>
    </xf>
    <xf numFmtId="166" fontId="40" fillId="0" borderId="0" xfId="1" applyFont="1" applyFill="1" applyBorder="1" applyAlignment="1">
      <alignment horizontal="center" vertical="top"/>
    </xf>
    <xf numFmtId="166" fontId="40" fillId="0" borderId="0" xfId="1" applyFont="1" applyAlignment="1">
      <alignment horizontal="center"/>
    </xf>
    <xf numFmtId="166" fontId="40" fillId="0" borderId="0" xfId="1" applyFont="1" applyAlignment="1"/>
    <xf numFmtId="166" fontId="45" fillId="0" borderId="0" xfId="1" applyFont="1" applyFill="1" applyBorder="1" applyAlignment="1">
      <alignment horizontal="right" vertical="top"/>
    </xf>
    <xf numFmtId="4" fontId="45" fillId="0" borderId="0" xfId="1" applyNumberFormat="1" applyFont="1" applyFill="1" applyBorder="1" applyAlignment="1">
      <alignment horizontal="center" vertical="top"/>
    </xf>
    <xf numFmtId="0" fontId="0" fillId="0" borderId="4" xfId="0" applyBorder="1"/>
    <xf numFmtId="2" fontId="0" fillId="0" borderId="0" xfId="0" applyNumberFormat="1"/>
    <xf numFmtId="2" fontId="12" fillId="0" borderId="0" xfId="0" applyNumberFormat="1" applyFont="1"/>
    <xf numFmtId="2" fontId="11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horizontal="left" vertical="center"/>
    </xf>
    <xf numFmtId="2" fontId="13" fillId="0" borderId="5" xfId="0" applyNumberFormat="1" applyFont="1" applyBorder="1" applyAlignment="1">
      <alignment horizontal="left" vertical="center"/>
    </xf>
    <xf numFmtId="2" fontId="13" fillId="2" borderId="5" xfId="0" applyNumberFormat="1" applyFont="1" applyFill="1" applyBorder="1" applyAlignment="1">
      <alignment horizontal="left" vertical="center"/>
    </xf>
    <xf numFmtId="2" fontId="0" fillId="0" borderId="5" xfId="0" applyNumberFormat="1" applyBorder="1"/>
    <xf numFmtId="2" fontId="12" fillId="0" borderId="5" xfId="0" applyNumberFormat="1" applyFont="1" applyBorder="1"/>
    <xf numFmtId="9" fontId="13" fillId="2" borderId="5" xfId="5" applyFont="1" applyFill="1" applyBorder="1" applyAlignment="1">
      <alignment horizontal="center" vertical="center"/>
    </xf>
    <xf numFmtId="1" fontId="13" fillId="0" borderId="5" xfId="0" applyNumberFormat="1" applyFont="1" applyBorder="1" applyAlignment="1">
      <alignment horizontal="left" vertical="center"/>
    </xf>
    <xf numFmtId="2" fontId="47" fillId="0" borderId="0" xfId="0" applyNumberFormat="1" applyFont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0" fontId="13" fillId="2" borderId="6" xfId="5" applyNumberFormat="1" applyFont="1" applyFill="1" applyBorder="1" applyAlignment="1">
      <alignment horizontal="center" vertical="center"/>
    </xf>
    <xf numFmtId="2" fontId="12" fillId="0" borderId="0" xfId="0" applyNumberFormat="1" applyFont="1" applyBorder="1"/>
    <xf numFmtId="9" fontId="13" fillId="0" borderId="0" xfId="5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left" vertical="center"/>
    </xf>
    <xf numFmtId="2" fontId="12" fillId="0" borderId="2" xfId="0" applyNumberFormat="1" applyFont="1" applyBorder="1"/>
    <xf numFmtId="2" fontId="19" fillId="0" borderId="7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center" vertical="center"/>
    </xf>
    <xf numFmtId="2" fontId="12" fillId="0" borderId="8" xfId="0" applyNumberFormat="1" applyFont="1" applyBorder="1" applyAlignment="1">
      <alignment horizontal="left" vertical="center"/>
    </xf>
    <xf numFmtId="2" fontId="11" fillId="0" borderId="8" xfId="0" applyNumberFormat="1" applyFont="1" applyBorder="1" applyAlignment="1">
      <alignment horizontal="left" vertical="center"/>
    </xf>
    <xf numFmtId="1" fontId="12" fillId="0" borderId="8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left" vertical="center"/>
    </xf>
    <xf numFmtId="2" fontId="13" fillId="0" borderId="2" xfId="0" applyNumberFormat="1" applyFont="1" applyBorder="1" applyAlignment="1">
      <alignment horizontal="left" vertical="center"/>
    </xf>
    <xf numFmtId="2" fontId="16" fillId="3" borderId="0" xfId="0" applyNumberFormat="1" applyFont="1" applyFill="1" applyAlignment="1">
      <alignment horizontal="left" vertical="center"/>
    </xf>
    <xf numFmtId="2" fontId="13" fillId="0" borderId="0" xfId="0" applyNumberFormat="1" applyFont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2" fontId="12" fillId="0" borderId="0" xfId="0" applyNumberFormat="1" applyFont="1" applyFill="1"/>
    <xf numFmtId="2" fontId="13" fillId="0" borderId="8" xfId="0" applyNumberFormat="1" applyFont="1" applyFill="1" applyBorder="1" applyAlignment="1">
      <alignment horizontal="left" vertical="center"/>
    </xf>
    <xf numFmtId="9" fontId="13" fillId="0" borderId="8" xfId="5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47" fillId="0" borderId="0" xfId="0" applyNumberFormat="1" applyFont="1" applyFill="1" applyAlignment="1">
      <alignment horizontal="left" vertical="center"/>
    </xf>
    <xf numFmtId="10" fontId="47" fillId="0" borderId="0" xfId="5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left" vertical="center"/>
    </xf>
    <xf numFmtId="2" fontId="12" fillId="0" borderId="0" xfId="0" applyNumberFormat="1" applyFont="1" applyFill="1" applyAlignment="1">
      <alignment horizontal="left" vertical="center"/>
    </xf>
    <xf numFmtId="2" fontId="48" fillId="0" borderId="0" xfId="0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center"/>
    </xf>
    <xf numFmtId="10" fontId="48" fillId="0" borderId="0" xfId="5" applyNumberFormat="1" applyFont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2" fontId="12" fillId="0" borderId="9" xfId="0" applyNumberFormat="1" applyFont="1" applyBorder="1" applyAlignment="1">
      <alignment horizontal="left" vertical="center"/>
    </xf>
    <xf numFmtId="2" fontId="19" fillId="0" borderId="9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10" fontId="12" fillId="0" borderId="9" xfId="0" applyNumberFormat="1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right" vertical="center"/>
    </xf>
    <xf numFmtId="10" fontId="12" fillId="0" borderId="11" xfId="0" applyNumberFormat="1" applyFont="1" applyBorder="1" applyAlignment="1">
      <alignment horizontal="right" vertical="center"/>
    </xf>
    <xf numFmtId="2" fontId="13" fillId="0" borderId="12" xfId="0" applyNumberFormat="1" applyFont="1" applyBorder="1" applyAlignment="1">
      <alignment horizontal="left" vertical="center" wrapText="1"/>
    </xf>
    <xf numFmtId="2" fontId="13" fillId="0" borderId="4" xfId="0" applyNumberFormat="1" applyFont="1" applyBorder="1" applyAlignment="1">
      <alignment horizontal="left" vertical="center"/>
    </xf>
    <xf numFmtId="2" fontId="13" fillId="0" borderId="4" xfId="0" applyNumberFormat="1" applyFont="1" applyBorder="1" applyAlignment="1">
      <alignment horizontal="right" vertical="center"/>
    </xf>
    <xf numFmtId="2" fontId="13" fillId="4" borderId="4" xfId="0" applyNumberFormat="1" applyFont="1" applyFill="1" applyBorder="1" applyAlignment="1">
      <alignment horizontal="right" vertical="center"/>
    </xf>
    <xf numFmtId="10" fontId="13" fillId="0" borderId="4" xfId="0" applyNumberFormat="1" applyFont="1" applyBorder="1" applyAlignment="1">
      <alignment horizontal="right" vertical="center"/>
    </xf>
    <xf numFmtId="10" fontId="13" fillId="0" borderId="13" xfId="0" applyNumberFormat="1" applyFont="1" applyBorder="1" applyAlignment="1">
      <alignment horizontal="right" vertical="center"/>
    </xf>
    <xf numFmtId="2" fontId="12" fillId="0" borderId="12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/>
    </xf>
    <xf numFmtId="2" fontId="12" fillId="0" borderId="4" xfId="0" applyNumberFormat="1" applyFont="1" applyBorder="1" applyAlignment="1">
      <alignment horizontal="right" vertical="center"/>
    </xf>
    <xf numFmtId="10" fontId="12" fillId="0" borderId="4" xfId="0" applyNumberFormat="1" applyFont="1" applyBorder="1" applyAlignment="1">
      <alignment horizontal="right" vertical="center"/>
    </xf>
    <xf numFmtId="10" fontId="12" fillId="0" borderId="13" xfId="0" applyNumberFormat="1" applyFont="1" applyBorder="1" applyAlignment="1">
      <alignment horizontal="right" vertical="center"/>
    </xf>
    <xf numFmtId="2" fontId="12" fillId="0" borderId="14" xfId="0" applyNumberFormat="1" applyFont="1" applyBorder="1" applyAlignment="1">
      <alignment horizontal="left" vertical="center" wrapText="1"/>
    </xf>
    <xf numFmtId="2" fontId="12" fillId="0" borderId="15" xfId="0" applyNumberFormat="1" applyFont="1" applyBorder="1" applyAlignment="1">
      <alignment horizontal="left" vertical="center"/>
    </xf>
    <xf numFmtId="2" fontId="12" fillId="0" borderId="15" xfId="0" applyNumberFormat="1" applyFont="1" applyBorder="1" applyAlignment="1">
      <alignment horizontal="right" vertical="center"/>
    </xf>
    <xf numFmtId="10" fontId="12" fillId="0" borderId="15" xfId="0" applyNumberFormat="1" applyFont="1" applyBorder="1" applyAlignment="1">
      <alignment horizontal="right" vertical="center"/>
    </xf>
    <xf numFmtId="10" fontId="12" fillId="0" borderId="16" xfId="0" applyNumberFormat="1" applyFont="1" applyBorder="1" applyAlignment="1">
      <alignment horizontal="right" vertical="center"/>
    </xf>
    <xf numFmtId="10" fontId="49" fillId="0" borderId="17" xfId="0" applyNumberFormat="1" applyFont="1" applyBorder="1" applyAlignment="1">
      <alignment horizontal="right" vertical="center"/>
    </xf>
    <xf numFmtId="10" fontId="49" fillId="0" borderId="18" xfId="0" applyNumberFormat="1" applyFont="1" applyBorder="1" applyAlignment="1">
      <alignment horizontal="right" vertical="center"/>
    </xf>
    <xf numFmtId="2" fontId="49" fillId="0" borderId="12" xfId="0" applyNumberFormat="1" applyFont="1" applyBorder="1" applyAlignment="1">
      <alignment horizontal="left" vertical="center" wrapText="1"/>
    </xf>
    <xf numFmtId="2" fontId="49" fillId="0" borderId="4" xfId="0" applyNumberFormat="1" applyFont="1" applyBorder="1" applyAlignment="1">
      <alignment horizontal="left" vertical="center"/>
    </xf>
    <xf numFmtId="2" fontId="49" fillId="0" borderId="4" xfId="0" applyNumberFormat="1" applyFont="1" applyBorder="1" applyAlignment="1">
      <alignment horizontal="right" vertical="center"/>
    </xf>
    <xf numFmtId="10" fontId="49" fillId="0" borderId="4" xfId="0" applyNumberFormat="1" applyFont="1" applyBorder="1" applyAlignment="1">
      <alignment horizontal="right" vertical="center"/>
    </xf>
    <xf numFmtId="10" fontId="49" fillId="0" borderId="13" xfId="0" applyNumberFormat="1" applyFont="1" applyBorder="1" applyAlignment="1">
      <alignment horizontal="right" vertical="center"/>
    </xf>
    <xf numFmtId="2" fontId="49" fillId="0" borderId="19" xfId="0" applyNumberFormat="1" applyFont="1" applyBorder="1" applyAlignment="1">
      <alignment horizontal="left" vertical="center" wrapText="1"/>
    </xf>
    <xf numFmtId="2" fontId="49" fillId="0" borderId="20" xfId="0" applyNumberFormat="1" applyFont="1" applyBorder="1" applyAlignment="1">
      <alignment horizontal="left" vertical="center"/>
    </xf>
    <xf numFmtId="2" fontId="49" fillId="0" borderId="20" xfId="0" applyNumberFormat="1" applyFont="1" applyBorder="1" applyAlignment="1">
      <alignment horizontal="right" vertical="center"/>
    </xf>
    <xf numFmtId="10" fontId="49" fillId="0" borderId="20" xfId="0" applyNumberFormat="1" applyFont="1" applyBorder="1" applyAlignment="1">
      <alignment horizontal="right" vertical="center"/>
    </xf>
    <xf numFmtId="10" fontId="49" fillId="0" borderId="21" xfId="0" applyNumberFormat="1" applyFont="1" applyBorder="1" applyAlignment="1">
      <alignment horizontal="right" vertical="center"/>
    </xf>
    <xf numFmtId="2" fontId="23" fillId="0" borderId="0" xfId="0" applyNumberFormat="1" applyFont="1" applyAlignment="1">
      <alignment horizontal="left" vertical="center"/>
    </xf>
    <xf numFmtId="2" fontId="25" fillId="0" borderId="0" xfId="0" applyNumberFormat="1" applyFont="1" applyAlignment="1">
      <alignment horizontal="left" vertical="center"/>
    </xf>
    <xf numFmtId="2" fontId="12" fillId="0" borderId="22" xfId="0" applyNumberFormat="1" applyFont="1" applyBorder="1"/>
    <xf numFmtId="10" fontId="0" fillId="0" borderId="0" xfId="0" applyNumberFormat="1"/>
    <xf numFmtId="2" fontId="12" fillId="0" borderId="22" xfId="0" applyNumberFormat="1" applyFont="1" applyBorder="1" applyAlignment="1">
      <alignment horizontal="left" vertical="center"/>
    </xf>
    <xf numFmtId="2" fontId="12" fillId="0" borderId="23" xfId="0" applyNumberFormat="1" applyFont="1" applyBorder="1" applyAlignment="1">
      <alignment horizontal="left" vertical="center"/>
    </xf>
    <xf numFmtId="2" fontId="0" fillId="0" borderId="0" xfId="0" applyNumberFormat="1" applyBorder="1"/>
    <xf numFmtId="2" fontId="12" fillId="0" borderId="0" xfId="0" applyNumberFormat="1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horizontal="left" vertical="center"/>
    </xf>
    <xf numFmtId="2" fontId="19" fillId="0" borderId="24" xfId="0" applyNumberFormat="1" applyFont="1" applyBorder="1" applyAlignment="1">
      <alignment horizontal="left" vertical="center"/>
    </xf>
    <xf numFmtId="2" fontId="19" fillId="0" borderId="25" xfId="0" applyNumberFormat="1" applyFont="1" applyBorder="1" applyAlignment="1">
      <alignment horizontal="left" vertical="center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/>
    </xf>
    <xf numFmtId="10" fontId="19" fillId="0" borderId="27" xfId="0" applyNumberFormat="1" applyFont="1" applyBorder="1" applyAlignment="1">
      <alignment horizontal="center" vertical="center"/>
    </xf>
    <xf numFmtId="10" fontId="19" fillId="0" borderId="28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right" vertical="center"/>
    </xf>
    <xf numFmtId="2" fontId="12" fillId="0" borderId="29" xfId="0" applyNumberFormat="1" applyFont="1" applyBorder="1" applyAlignment="1">
      <alignment horizontal="left" vertical="center"/>
    </xf>
    <xf numFmtId="2" fontId="0" fillId="0" borderId="30" xfId="0" applyNumberFormat="1" applyBorder="1"/>
    <xf numFmtId="2" fontId="12" fillId="0" borderId="19" xfId="0" applyNumberFormat="1" applyFont="1" applyBorder="1" applyAlignment="1">
      <alignment horizontal="left" vertical="center" wrapText="1"/>
    </xf>
    <xf numFmtId="2" fontId="12" fillId="0" borderId="20" xfId="0" applyNumberFormat="1" applyFont="1" applyBorder="1" applyAlignment="1">
      <alignment horizontal="left" vertical="center"/>
    </xf>
    <xf numFmtId="2" fontId="12" fillId="0" borderId="20" xfId="0" applyNumberFormat="1" applyFont="1" applyBorder="1" applyAlignment="1">
      <alignment horizontal="right" vertical="center"/>
    </xf>
    <xf numFmtId="10" fontId="12" fillId="0" borderId="20" xfId="0" applyNumberFormat="1" applyFont="1" applyBorder="1" applyAlignment="1">
      <alignment horizontal="right" vertical="center"/>
    </xf>
    <xf numFmtId="10" fontId="12" fillId="0" borderId="21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  <xf numFmtId="10" fontId="16" fillId="0" borderId="10" xfId="0" applyNumberFormat="1" applyFont="1" applyBorder="1" applyAlignment="1">
      <alignment horizontal="right" vertical="center"/>
    </xf>
    <xf numFmtId="10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left" vertical="center" wrapText="1"/>
    </xf>
    <xf numFmtId="2" fontId="16" fillId="0" borderId="4" xfId="0" applyNumberFormat="1" applyFont="1" applyBorder="1" applyAlignment="1">
      <alignment horizontal="left" vertical="center"/>
    </xf>
    <xf numFmtId="2" fontId="16" fillId="0" borderId="4" xfId="0" applyNumberFormat="1" applyFont="1" applyBorder="1" applyAlignment="1">
      <alignment horizontal="right" vertical="center"/>
    </xf>
    <xf numFmtId="2" fontId="16" fillId="4" borderId="4" xfId="0" applyNumberFormat="1" applyFont="1" applyFill="1" applyBorder="1" applyAlignment="1">
      <alignment horizontal="right" vertical="center"/>
    </xf>
    <xf numFmtId="10" fontId="16" fillId="0" borderId="4" xfId="0" applyNumberFormat="1" applyFont="1" applyBorder="1" applyAlignment="1">
      <alignment horizontal="right" vertical="center"/>
    </xf>
    <xf numFmtId="10" fontId="16" fillId="0" borderId="13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left" vertical="center" wrapText="1"/>
    </xf>
    <xf numFmtId="2" fontId="16" fillId="0" borderId="15" xfId="0" applyNumberFormat="1" applyFont="1" applyBorder="1" applyAlignment="1">
      <alignment horizontal="left" vertical="center"/>
    </xf>
    <xf numFmtId="2" fontId="16" fillId="0" borderId="15" xfId="0" applyNumberFormat="1" applyFont="1" applyBorder="1" applyAlignment="1">
      <alignment horizontal="right" vertical="center"/>
    </xf>
    <xf numFmtId="10" fontId="16" fillId="0" borderId="15" xfId="0" applyNumberFormat="1" applyFont="1" applyBorder="1" applyAlignment="1">
      <alignment horizontal="right" vertical="center"/>
    </xf>
    <xf numFmtId="10" fontId="16" fillId="0" borderId="16" xfId="0" applyNumberFormat="1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left" vertical="center"/>
    </xf>
    <xf numFmtId="2" fontId="13" fillId="0" borderId="2" xfId="0" applyNumberFormat="1" applyFont="1" applyBorder="1"/>
    <xf numFmtId="2" fontId="19" fillId="0" borderId="24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28" fillId="0" borderId="3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32" xfId="0" applyNumberFormat="1" applyFont="1" applyBorder="1" applyAlignment="1">
      <alignment horizontal="right" vertical="center"/>
    </xf>
    <xf numFmtId="2" fontId="17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2" fontId="17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vertical="center"/>
    </xf>
    <xf numFmtId="166" fontId="36" fillId="0" borderId="0" xfId="1" applyAlignment="1">
      <alignment horizontal="right"/>
    </xf>
    <xf numFmtId="166" fontId="50" fillId="0" borderId="0" xfId="1" applyFont="1" applyFill="1" applyBorder="1" applyAlignment="1">
      <alignment horizontal="center" vertical="top"/>
    </xf>
    <xf numFmtId="49" fontId="45" fillId="2" borderId="4" xfId="1" applyNumberFormat="1" applyFont="1" applyFill="1" applyBorder="1" applyAlignment="1">
      <alignment horizontal="center" vertical="top"/>
    </xf>
    <xf numFmtId="10" fontId="13" fillId="2" borderId="4" xfId="5" applyNumberFormat="1" applyFont="1" applyFill="1" applyBorder="1" applyAlignment="1">
      <alignment horizontal="center" vertical="center"/>
    </xf>
    <xf numFmtId="166" fontId="40" fillId="0" borderId="0" xfId="1" applyFont="1" applyFill="1" applyBorder="1" applyAlignment="1">
      <alignment horizontal="right" vertical="top"/>
    </xf>
    <xf numFmtId="166" fontId="51" fillId="0" borderId="50" xfId="1" applyFont="1" applyFill="1" applyBorder="1" applyAlignment="1">
      <alignment horizontal="left" vertical="center" wrapText="1" indent="6"/>
    </xf>
    <xf numFmtId="166" fontId="51" fillId="0" borderId="50" xfId="1" applyFont="1" applyFill="1" applyBorder="1" applyAlignment="1">
      <alignment horizontal="center" vertical="center" wrapText="1"/>
    </xf>
    <xf numFmtId="166" fontId="51" fillId="5" borderId="50" xfId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left" vertical="center"/>
    </xf>
    <xf numFmtId="0" fontId="0" fillId="0" borderId="0" xfId="0"/>
    <xf numFmtId="166" fontId="36" fillId="0" borderId="0" xfId="1"/>
    <xf numFmtId="2" fontId="12" fillId="5" borderId="2" xfId="0" applyNumberFormat="1" applyFont="1" applyFill="1" applyBorder="1" applyAlignment="1">
      <alignment horizontal="left" vertical="center"/>
    </xf>
    <xf numFmtId="2" fontId="12" fillId="5" borderId="7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left" vertical="center"/>
    </xf>
    <xf numFmtId="2" fontId="13" fillId="5" borderId="2" xfId="0" applyNumberFormat="1" applyFont="1" applyFill="1" applyBorder="1" applyAlignment="1">
      <alignment horizontal="left" vertical="center"/>
    </xf>
    <xf numFmtId="2" fontId="13" fillId="5" borderId="7" xfId="0" applyNumberFormat="1" applyFont="1" applyFill="1" applyBorder="1" applyAlignment="1">
      <alignment horizontal="center" vertical="center"/>
    </xf>
    <xf numFmtId="2" fontId="12" fillId="5" borderId="34" xfId="0" applyNumberFormat="1" applyFont="1" applyFill="1" applyBorder="1" applyAlignment="1">
      <alignment horizontal="left" vertical="center" wrapText="1"/>
    </xf>
    <xf numFmtId="2" fontId="12" fillId="5" borderId="10" xfId="0" applyNumberFormat="1" applyFont="1" applyFill="1" applyBorder="1" applyAlignment="1">
      <alignment horizontal="left" vertical="center"/>
    </xf>
    <xf numFmtId="2" fontId="12" fillId="5" borderId="10" xfId="0" applyNumberFormat="1" applyFont="1" applyFill="1" applyBorder="1" applyAlignment="1">
      <alignment horizontal="right" vertical="center"/>
    </xf>
    <xf numFmtId="2" fontId="16" fillId="5" borderId="35" xfId="0" applyNumberFormat="1" applyFont="1" applyFill="1" applyBorder="1" applyAlignment="1">
      <alignment horizontal="left" vertical="center" wrapText="1"/>
    </xf>
    <xf numFmtId="2" fontId="16" fillId="5" borderId="17" xfId="0" applyNumberFormat="1" applyFont="1" applyFill="1" applyBorder="1" applyAlignment="1">
      <alignment horizontal="left" vertical="center"/>
    </xf>
    <xf numFmtId="2" fontId="16" fillId="5" borderId="17" xfId="0" applyNumberFormat="1" applyFont="1" applyFill="1" applyBorder="1" applyAlignment="1">
      <alignment horizontal="right" vertical="center"/>
    </xf>
    <xf numFmtId="2" fontId="12" fillId="5" borderId="7" xfId="0" applyNumberFormat="1" applyFont="1" applyFill="1" applyBorder="1"/>
    <xf numFmtId="2" fontId="12" fillId="5" borderId="2" xfId="0" applyNumberFormat="1" applyFont="1" applyFill="1" applyBorder="1"/>
    <xf numFmtId="2" fontId="12" fillId="5" borderId="36" xfId="0" applyNumberFormat="1" applyFont="1" applyFill="1" applyBorder="1" applyAlignment="1">
      <alignment horizontal="left" vertical="center"/>
    </xf>
    <xf numFmtId="2" fontId="12" fillId="5" borderId="37" xfId="0" applyNumberFormat="1" applyFont="1" applyFill="1" applyBorder="1" applyAlignment="1">
      <alignment horizontal="left" vertical="center"/>
    </xf>
    <xf numFmtId="2" fontId="12" fillId="5" borderId="33" xfId="0" applyNumberFormat="1" applyFont="1" applyFill="1" applyBorder="1"/>
    <xf numFmtId="2" fontId="12" fillId="5" borderId="4" xfId="0" applyNumberFormat="1" applyFont="1" applyFill="1" applyBorder="1"/>
    <xf numFmtId="166" fontId="51" fillId="6" borderId="50" xfId="1" applyFont="1" applyFill="1" applyBorder="1" applyAlignment="1">
      <alignment horizontal="left" wrapText="1"/>
    </xf>
    <xf numFmtId="166" fontId="51" fillId="6" borderId="50" xfId="1" applyFont="1" applyFill="1" applyBorder="1" applyAlignment="1">
      <alignment horizontal="right" wrapText="1"/>
    </xf>
    <xf numFmtId="2" fontId="12" fillId="0" borderId="34" xfId="0" applyNumberFormat="1" applyFont="1" applyFill="1" applyBorder="1" applyAlignment="1">
      <alignment horizontal="left" vertical="center" wrapText="1"/>
    </xf>
    <xf numFmtId="2" fontId="12" fillId="0" borderId="10" xfId="0" applyNumberFormat="1" applyFont="1" applyFill="1" applyBorder="1" applyAlignment="1">
      <alignment horizontal="left" vertical="center"/>
    </xf>
    <xf numFmtId="2" fontId="12" fillId="0" borderId="10" xfId="0" applyNumberFormat="1" applyFont="1" applyFill="1" applyBorder="1" applyAlignment="1">
      <alignment horizontal="right" vertical="center"/>
    </xf>
    <xf numFmtId="166" fontId="39" fillId="0" borderId="0" xfId="1" applyFont="1" applyFill="1" applyBorder="1" applyAlignment="1">
      <alignment horizontal="left" vertical="top"/>
    </xf>
    <xf numFmtId="166" fontId="40" fillId="0" borderId="0" xfId="1" applyFont="1" applyAlignment="1">
      <alignment horizontal="left"/>
    </xf>
    <xf numFmtId="166" fontId="45" fillId="0" borderId="0" xfId="1" applyFont="1" applyFill="1" applyBorder="1" applyAlignment="1">
      <alignment horizontal="left" vertical="top"/>
    </xf>
    <xf numFmtId="166" fontId="45" fillId="0" borderId="0" xfId="1" applyFont="1" applyAlignment="1">
      <alignment horizontal="left"/>
    </xf>
    <xf numFmtId="166" fontId="40" fillId="0" borderId="0" xfId="1" applyFont="1" applyFill="1" applyAlignment="1">
      <alignment horizontal="left"/>
    </xf>
    <xf numFmtId="166" fontId="40" fillId="0" borderId="0" xfId="1" applyFont="1" applyFill="1" applyBorder="1" applyAlignment="1">
      <alignment horizontal="left" vertical="top"/>
    </xf>
    <xf numFmtId="4" fontId="45" fillId="6" borderId="4" xfId="1" applyNumberFormat="1" applyFont="1" applyFill="1" applyBorder="1" applyAlignment="1" applyProtection="1">
      <alignment horizontal="left" vertical="top"/>
      <protection locked="0"/>
    </xf>
    <xf numFmtId="4" fontId="45" fillId="0" borderId="0" xfId="1" applyNumberFormat="1" applyFont="1" applyFill="1" applyAlignment="1" applyProtection="1">
      <alignment horizontal="left"/>
      <protection locked="0"/>
    </xf>
    <xf numFmtId="166" fontId="45" fillId="0" borderId="0" xfId="1" applyFont="1" applyFill="1" applyAlignment="1">
      <alignment horizontal="left"/>
    </xf>
    <xf numFmtId="4" fontId="45" fillId="0" borderId="0" xfId="1" applyNumberFormat="1" applyFont="1" applyFill="1" applyAlignment="1">
      <alignment horizontal="left"/>
    </xf>
    <xf numFmtId="166" fontId="36" fillId="0" borderId="0" xfId="1" applyFill="1" applyAlignment="1">
      <alignment horizontal="left"/>
    </xf>
    <xf numFmtId="166" fontId="36" fillId="0" borderId="0" xfId="1" applyAlignment="1">
      <alignment horizontal="left"/>
    </xf>
    <xf numFmtId="166" fontId="51" fillId="0" borderId="50" xfId="1" applyFont="1" applyFill="1" applyBorder="1" applyAlignment="1">
      <alignment horizontal="left" vertical="center" wrapText="1"/>
    </xf>
    <xf numFmtId="166" fontId="52" fillId="0" borderId="50" xfId="1" applyFont="1" applyFill="1" applyBorder="1" applyAlignment="1">
      <alignment horizontal="left" vertical="center" wrapText="1"/>
    </xf>
    <xf numFmtId="166" fontId="52" fillId="0" borderId="51" xfId="1" applyFont="1" applyFill="1" applyBorder="1" applyAlignment="1">
      <alignment horizontal="left" vertical="center" wrapText="1"/>
    </xf>
    <xf numFmtId="166" fontId="9" fillId="0" borderId="0" xfId="1" applyFont="1" applyFill="1" applyAlignment="1">
      <alignment horizontal="left"/>
    </xf>
    <xf numFmtId="166" fontId="8" fillId="0" borderId="52" xfId="1" applyFont="1" applyFill="1" applyBorder="1" applyAlignment="1">
      <alignment horizontal="left" vertical="top" wrapText="1"/>
    </xf>
    <xf numFmtId="0" fontId="10" fillId="0" borderId="52" xfId="1" applyNumberFormat="1" applyFont="1" applyFill="1" applyBorder="1" applyAlignment="1">
      <alignment horizontal="center" vertical="top" shrinkToFit="1"/>
    </xf>
    <xf numFmtId="2" fontId="10" fillId="0" borderId="52" xfId="1" applyNumberFormat="1" applyFont="1" applyFill="1" applyBorder="1" applyAlignment="1">
      <alignment horizontal="center" vertical="top" shrinkToFit="1"/>
    </xf>
    <xf numFmtId="2" fontId="10" fillId="0" borderId="47" xfId="1" applyNumberFormat="1" applyFont="1" applyFill="1" applyBorder="1" applyAlignment="1" applyProtection="1">
      <alignment horizontal="left" vertical="top" shrinkToFit="1"/>
      <protection locked="0"/>
    </xf>
    <xf numFmtId="2" fontId="30" fillId="0" borderId="4" xfId="1" applyNumberFormat="1" applyFont="1" applyFill="1" applyBorder="1" applyAlignment="1">
      <alignment horizontal="left"/>
    </xf>
    <xf numFmtId="166" fontId="8" fillId="0" borderId="4" xfId="1" applyFont="1" applyFill="1" applyBorder="1" applyAlignment="1">
      <alignment horizontal="left"/>
    </xf>
    <xf numFmtId="166" fontId="9" fillId="0" borderId="0" xfId="1" applyFont="1" applyFill="1"/>
    <xf numFmtId="166" fontId="8" fillId="0" borderId="50" xfId="1" applyFont="1" applyFill="1" applyBorder="1" applyAlignment="1">
      <alignment horizontal="left" vertical="top" wrapText="1"/>
    </xf>
    <xf numFmtId="2" fontId="10" fillId="0" borderId="50" xfId="1" applyNumberFormat="1" applyFont="1" applyFill="1" applyBorder="1" applyAlignment="1">
      <alignment horizontal="center" vertical="top" shrinkToFit="1"/>
    </xf>
    <xf numFmtId="2" fontId="10" fillId="0" borderId="51" xfId="1" applyNumberFormat="1" applyFont="1" applyFill="1" applyBorder="1" applyAlignment="1" applyProtection="1">
      <alignment horizontal="left" vertical="top" shrinkToFit="1"/>
      <protection locked="0"/>
    </xf>
    <xf numFmtId="2" fontId="30" fillId="0" borderId="9" xfId="1" applyNumberFormat="1" applyFont="1" applyFill="1" applyBorder="1" applyAlignment="1">
      <alignment horizontal="left"/>
    </xf>
    <xf numFmtId="166" fontId="8" fillId="0" borderId="9" xfId="1" applyFont="1" applyFill="1" applyBorder="1" applyAlignment="1">
      <alignment horizontal="left"/>
    </xf>
    <xf numFmtId="166" fontId="8" fillId="0" borderId="4" xfId="1" applyFont="1" applyFill="1" applyBorder="1" applyAlignment="1">
      <alignment horizontal="left" vertical="top" wrapText="1"/>
    </xf>
    <xf numFmtId="2" fontId="10" fillId="0" borderId="4" xfId="1" applyNumberFormat="1" applyFont="1" applyFill="1" applyBorder="1" applyAlignment="1">
      <alignment horizontal="center" vertical="top" shrinkToFit="1"/>
    </xf>
    <xf numFmtId="2" fontId="10" fillId="0" borderId="4" xfId="1" applyNumberFormat="1" applyFont="1" applyFill="1" applyBorder="1" applyAlignment="1" applyProtection="1">
      <alignment horizontal="left" vertical="top" shrinkToFit="1"/>
      <protection locked="0"/>
    </xf>
    <xf numFmtId="166" fontId="8" fillId="0" borderId="52" xfId="1" applyFont="1" applyFill="1" applyBorder="1" applyAlignment="1" applyProtection="1">
      <alignment horizontal="left" vertical="top" wrapText="1"/>
      <protection locked="0"/>
    </xf>
    <xf numFmtId="4" fontId="10" fillId="0" borderId="47" xfId="1" applyNumberFormat="1" applyFont="1" applyFill="1" applyBorder="1" applyAlignment="1" applyProtection="1">
      <alignment horizontal="left" vertical="top" shrinkToFit="1"/>
      <protection locked="0"/>
    </xf>
    <xf numFmtId="164" fontId="8" fillId="0" borderId="52" xfId="4" applyFont="1" applyFill="1" applyBorder="1" applyAlignment="1">
      <alignment horizontal="left" vertical="top" wrapText="1"/>
    </xf>
    <xf numFmtId="0" fontId="10" fillId="0" borderId="47" xfId="1" applyNumberFormat="1" applyFont="1" applyFill="1" applyBorder="1" applyAlignment="1" applyProtection="1">
      <alignment horizontal="left" vertical="top" shrinkToFit="1"/>
      <protection locked="0"/>
    </xf>
    <xf numFmtId="166" fontId="30" fillId="0" borderId="0" xfId="1" applyFont="1" applyFill="1" applyAlignment="1">
      <alignment horizontal="left"/>
    </xf>
    <xf numFmtId="166" fontId="8" fillId="0" borderId="47" xfId="1" applyFont="1" applyFill="1" applyBorder="1" applyAlignment="1">
      <alignment horizontal="left" vertical="top" wrapText="1"/>
    </xf>
    <xf numFmtId="0" fontId="10" fillId="0" borderId="52" xfId="1" applyNumberFormat="1" applyFont="1" applyFill="1" applyBorder="1" applyAlignment="1">
      <alignment horizontal="left" vertical="top" indent="3" shrinkToFit="1"/>
    </xf>
    <xf numFmtId="0" fontId="31" fillId="0" borderId="52" xfId="0" applyFont="1" applyFill="1" applyBorder="1" applyAlignment="1">
      <alignment horizontal="left"/>
    </xf>
    <xf numFmtId="2" fontId="31" fillId="0" borderId="52" xfId="0" applyNumberFormat="1" applyFont="1" applyFill="1" applyBorder="1" applyAlignment="1">
      <alignment horizontal="left"/>
    </xf>
    <xf numFmtId="2" fontId="10" fillId="0" borderId="52" xfId="1" applyNumberFormat="1" applyFont="1" applyFill="1" applyBorder="1" applyAlignment="1">
      <alignment horizontal="left" vertical="top" indent="3" shrinkToFit="1"/>
    </xf>
    <xf numFmtId="166" fontId="8" fillId="0" borderId="51" xfId="1" applyFont="1" applyFill="1" applyBorder="1" applyAlignment="1">
      <alignment horizontal="left" vertical="top" wrapText="1"/>
    </xf>
    <xf numFmtId="2" fontId="10" fillId="0" borderId="50" xfId="1" applyNumberFormat="1" applyFont="1" applyFill="1" applyBorder="1" applyAlignment="1">
      <alignment horizontal="left" vertical="top" indent="3" shrinkToFit="1"/>
    </xf>
    <xf numFmtId="0" fontId="31" fillId="0" borderId="50" xfId="0" applyFont="1" applyFill="1" applyBorder="1" applyAlignment="1">
      <alignment horizontal="left"/>
    </xf>
    <xf numFmtId="166" fontId="10" fillId="0" borderId="4" xfId="1" applyFont="1" applyFill="1" applyBorder="1"/>
    <xf numFmtId="166" fontId="10" fillId="0" borderId="4" xfId="1" applyFont="1" applyFill="1" applyBorder="1" applyAlignment="1" applyProtection="1">
      <alignment horizontal="left" vertical="center"/>
      <protection locked="0"/>
    </xf>
    <xf numFmtId="166" fontId="10" fillId="0" borderId="4" xfId="1" applyFont="1" applyFill="1" applyBorder="1" applyAlignment="1">
      <alignment horizontal="center"/>
    </xf>
    <xf numFmtId="4" fontId="8" fillId="0" borderId="4" xfId="1" applyNumberFormat="1" applyFont="1" applyFill="1" applyBorder="1" applyAlignment="1">
      <alignment horizontal="left"/>
    </xf>
    <xf numFmtId="0" fontId="34" fillId="0" borderId="0" xfId="0" applyFont="1" applyFill="1"/>
    <xf numFmtId="166" fontId="10" fillId="0" borderId="20" xfId="1" applyFont="1" applyFill="1" applyBorder="1"/>
    <xf numFmtId="166" fontId="10" fillId="0" borderId="20" xfId="1" applyFont="1" applyFill="1" applyBorder="1" applyAlignment="1" applyProtection="1">
      <alignment horizontal="left" vertical="center"/>
      <protection locked="0"/>
    </xf>
    <xf numFmtId="0" fontId="34" fillId="0" borderId="38" xfId="0" applyFont="1" applyFill="1" applyBorder="1"/>
    <xf numFmtId="2" fontId="10" fillId="0" borderId="53" xfId="1" applyNumberFormat="1" applyFont="1" applyFill="1" applyBorder="1" applyAlignment="1" applyProtection="1">
      <alignment horizontal="left" vertical="top" shrinkToFit="1"/>
      <protection locked="0"/>
    </xf>
    <xf numFmtId="2" fontId="30" fillId="0" borderId="20" xfId="1" applyNumberFormat="1" applyFont="1" applyFill="1" applyBorder="1" applyAlignment="1">
      <alignment horizontal="left"/>
    </xf>
    <xf numFmtId="4" fontId="8" fillId="0" borderId="20" xfId="1" applyNumberFormat="1" applyFont="1" applyFill="1" applyBorder="1" applyAlignment="1">
      <alignment horizontal="left"/>
    </xf>
    <xf numFmtId="166" fontId="10" fillId="0" borderId="0" xfId="1" applyFont="1" applyFill="1" applyBorder="1"/>
    <xf numFmtId="166" fontId="10" fillId="0" borderId="0" xfId="1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/>
    <xf numFmtId="2" fontId="10" fillId="0" borderId="0" xfId="1" applyNumberFormat="1" applyFont="1" applyFill="1" applyBorder="1" applyAlignment="1" applyProtection="1">
      <alignment horizontal="left" vertical="top" shrinkToFit="1"/>
      <protection locked="0"/>
    </xf>
    <xf numFmtId="2" fontId="30" fillId="0" borderId="0" xfId="1" applyNumberFormat="1" applyFont="1" applyFill="1" applyBorder="1" applyAlignment="1">
      <alignment horizontal="left"/>
    </xf>
    <xf numFmtId="4" fontId="8" fillId="0" borderId="0" xfId="1" applyNumberFormat="1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166" fontId="10" fillId="0" borderId="17" xfId="1" applyFont="1" applyFill="1" applyBorder="1"/>
    <xf numFmtId="166" fontId="10" fillId="0" borderId="17" xfId="1" applyFont="1" applyFill="1" applyBorder="1" applyAlignment="1" applyProtection="1">
      <alignment horizontal="left" vertical="center"/>
      <protection locked="0"/>
    </xf>
    <xf numFmtId="2" fontId="30" fillId="0" borderId="17" xfId="1" applyNumberFormat="1" applyFont="1" applyFill="1" applyBorder="1" applyAlignment="1">
      <alignment horizontal="left"/>
    </xf>
    <xf numFmtId="4" fontId="8" fillId="0" borderId="17" xfId="1" applyNumberFormat="1" applyFont="1" applyFill="1" applyBorder="1" applyAlignment="1">
      <alignment horizontal="left"/>
    </xf>
    <xf numFmtId="166" fontId="31" fillId="0" borderId="0" xfId="1" applyFont="1" applyFill="1" applyBorder="1" applyAlignment="1">
      <alignment horizontal="center"/>
    </xf>
    <xf numFmtId="0" fontId="53" fillId="0" borderId="0" xfId="0" applyFont="1" applyFill="1"/>
    <xf numFmtId="0" fontId="34" fillId="0" borderId="39" xfId="0" applyFont="1" applyFill="1" applyBorder="1"/>
    <xf numFmtId="0" fontId="34" fillId="0" borderId="40" xfId="0" applyFont="1" applyFill="1" applyBorder="1"/>
    <xf numFmtId="169" fontId="34" fillId="0" borderId="41" xfId="0" applyNumberFormat="1" applyFont="1" applyFill="1" applyBorder="1" applyAlignment="1">
      <alignment horizontal="left"/>
    </xf>
    <xf numFmtId="169" fontId="34" fillId="0" borderId="0" xfId="0" applyNumberFormat="1" applyFont="1" applyFill="1"/>
    <xf numFmtId="0" fontId="34" fillId="0" borderId="5" xfId="0" applyFont="1" applyFill="1" applyBorder="1" applyAlignment="1">
      <alignment horizontal="left"/>
    </xf>
    <xf numFmtId="10" fontId="34" fillId="0" borderId="0" xfId="0" applyNumberFormat="1" applyFont="1" applyFill="1" applyAlignment="1">
      <alignment horizontal="left"/>
    </xf>
    <xf numFmtId="0" fontId="34" fillId="0" borderId="4" xfId="0" applyFont="1" applyFill="1" applyBorder="1" applyAlignment="1">
      <alignment horizontal="center"/>
    </xf>
    <xf numFmtId="10" fontId="34" fillId="0" borderId="4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right"/>
    </xf>
    <xf numFmtId="169" fontId="34" fillId="0" borderId="4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169" fontId="34" fillId="0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Alignment="1">
      <alignment horizontal="left"/>
    </xf>
    <xf numFmtId="168" fontId="34" fillId="0" borderId="4" xfId="4" applyNumberFormat="1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46" fillId="0" borderId="4" xfId="0" applyFont="1" applyBorder="1" applyAlignment="1">
      <alignment horizontal="center"/>
    </xf>
    <xf numFmtId="2" fontId="54" fillId="0" borderId="42" xfId="0" applyNumberFormat="1" applyFont="1" applyFill="1" applyBorder="1" applyAlignment="1">
      <alignment horizontal="justify" vertical="center" wrapText="1"/>
    </xf>
    <xf numFmtId="2" fontId="54" fillId="0" borderId="6" xfId="0" applyNumberFormat="1" applyFont="1" applyFill="1" applyBorder="1" applyAlignment="1">
      <alignment horizontal="justify" vertical="center" wrapText="1"/>
    </xf>
    <xf numFmtId="2" fontId="54" fillId="0" borderId="43" xfId="0" applyNumberFormat="1" applyFont="1" applyFill="1" applyBorder="1" applyAlignment="1">
      <alignment horizontal="justify" vertical="center" wrapText="1"/>
    </xf>
    <xf numFmtId="2" fontId="54" fillId="0" borderId="44" xfId="0" applyNumberFormat="1" applyFont="1" applyFill="1" applyBorder="1" applyAlignment="1">
      <alignment horizontal="justify" vertical="center" wrapText="1"/>
    </xf>
    <xf numFmtId="2" fontId="54" fillId="0" borderId="5" xfId="0" applyNumberFormat="1" applyFont="1" applyFill="1" applyBorder="1" applyAlignment="1">
      <alignment horizontal="justify" vertical="center" wrapText="1"/>
    </xf>
    <xf numFmtId="2" fontId="54" fillId="0" borderId="45" xfId="0" applyNumberFormat="1" applyFont="1" applyFill="1" applyBorder="1" applyAlignment="1">
      <alignment horizontal="justify" vertical="center" wrapText="1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5" borderId="4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53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166" fontId="55" fillId="6" borderId="9" xfId="1" applyFont="1" applyFill="1" applyBorder="1" applyAlignment="1">
      <alignment horizontal="center" vertical="top" wrapText="1"/>
    </xf>
    <xf numFmtId="166" fontId="55" fillId="6" borderId="17" xfId="1" applyFont="1" applyFill="1" applyBorder="1" applyAlignment="1">
      <alignment horizontal="center" vertical="top" wrapText="1"/>
    </xf>
    <xf numFmtId="166" fontId="33" fillId="0" borderId="0" xfId="1" applyFont="1" applyFill="1" applyAlignment="1">
      <alignment horizontal="center" vertical="center"/>
    </xf>
    <xf numFmtId="166" fontId="31" fillId="0" borderId="0" xfId="1" applyFont="1" applyFill="1" applyBorder="1" applyAlignment="1">
      <alignment horizontal="left" vertical="top" wrapText="1"/>
    </xf>
    <xf numFmtId="166" fontId="31" fillId="7" borderId="4" xfId="1" applyFont="1" applyFill="1" applyBorder="1" applyAlignment="1">
      <alignment horizontal="left" vertical="top" wrapText="1" indent="10"/>
    </xf>
    <xf numFmtId="166" fontId="32" fillId="7" borderId="54" xfId="1" applyFont="1" applyFill="1" applyBorder="1" applyAlignment="1">
      <alignment horizontal="left" vertical="top" wrapText="1" indent="10"/>
    </xf>
    <xf numFmtId="166" fontId="32" fillId="7" borderId="0" xfId="1" applyFont="1" applyFill="1" applyBorder="1" applyAlignment="1">
      <alignment horizontal="left" vertical="top" wrapText="1" indent="10"/>
    </xf>
    <xf numFmtId="166" fontId="33" fillId="0" borderId="0" xfId="1" applyFont="1" applyFill="1" applyAlignment="1">
      <alignment horizontal="left" vertical="center"/>
    </xf>
    <xf numFmtId="166" fontId="56" fillId="0" borderId="52" xfId="1" applyFont="1" applyFill="1" applyBorder="1" applyAlignment="1">
      <alignment horizontal="left" vertical="top" wrapText="1"/>
    </xf>
    <xf numFmtId="166" fontId="57" fillId="0" borderId="52" xfId="1" applyFont="1" applyFill="1" applyBorder="1" applyAlignment="1">
      <alignment horizontal="left" vertical="top" wrapText="1"/>
    </xf>
    <xf numFmtId="166" fontId="58" fillId="0" borderId="52" xfId="1" applyFont="1" applyFill="1" applyBorder="1" applyAlignment="1">
      <alignment horizontal="left" vertical="top" wrapText="1"/>
    </xf>
  </cellXfs>
  <cellStyles count="8">
    <cellStyle name="Excel Built-in Normal" xfId="1" xr:uid="{00000000-0005-0000-0000-000001000000}"/>
    <cellStyle name="Heading" xfId="2" xr:uid="{00000000-0005-0000-0000-000002000000}"/>
    <cellStyle name="Heading1" xfId="3" xr:uid="{00000000-0005-0000-0000-000003000000}"/>
    <cellStyle name="Migliaia" xfId="4" builtinId="3"/>
    <cellStyle name="Normale" xfId="0" builtinId="0"/>
    <cellStyle name="Percentuale" xfId="5" builtinId="5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1.0.5.163\ufficio\DESK%20PAOLO\TARIFFARI\PUBBLICITA'%20E%20DPA\TARIFFARI%20AUMENTI%20VARI\MODULO_TARIFFE_2019%2012-02-19%20automezzi%20senza%20au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MSUP20"/>
      <sheetName val="LEGGE"/>
    </sheetNames>
    <sheetDataSet>
      <sheetData sheetId="0"/>
      <sheetData sheetId="1">
        <row r="2">
          <cell r="A2" t="str">
            <v>I</v>
          </cell>
          <cell r="B2">
            <v>1.4460793174505622</v>
          </cell>
          <cell r="C2">
            <v>0.43382379523516867</v>
          </cell>
        </row>
        <row r="3">
          <cell r="A3" t="str">
            <v>II</v>
          </cell>
          <cell r="B3">
            <v>1.3427879376326648</v>
          </cell>
          <cell r="C3">
            <v>0.40283638128979948</v>
          </cell>
        </row>
        <row r="4">
          <cell r="A4" t="str">
            <v>III</v>
          </cell>
          <cell r="B4">
            <v>1.2394965578147676</v>
          </cell>
          <cell r="C4">
            <v>0.37184896734443029</v>
          </cell>
        </row>
        <row r="5">
          <cell r="A5" t="str">
            <v>IV</v>
          </cell>
          <cell r="B5">
            <v>1.1362051779968703</v>
          </cell>
          <cell r="C5">
            <v>0.3408615533990611</v>
          </cell>
        </row>
        <row r="6">
          <cell r="A6" t="str">
            <v>V</v>
          </cell>
          <cell r="B6">
            <v>1.0329137981789729</v>
          </cell>
          <cell r="C6">
            <v>0.30987413945369191</v>
          </cell>
        </row>
        <row r="9">
          <cell r="A9" t="str">
            <v>I</v>
          </cell>
          <cell r="B9">
            <v>19.625362165400485</v>
          </cell>
        </row>
        <row r="10">
          <cell r="A10" t="str">
            <v>II</v>
          </cell>
          <cell r="B10">
            <v>17.55953456904254</v>
          </cell>
        </row>
        <row r="11">
          <cell r="A11" t="str">
            <v>III</v>
          </cell>
          <cell r="B11">
            <v>15.493706972684596</v>
          </cell>
        </row>
        <row r="12">
          <cell r="A12" t="str">
            <v>IV</v>
          </cell>
          <cell r="B12">
            <v>13.427879376326649</v>
          </cell>
        </row>
        <row r="13">
          <cell r="A13" t="str">
            <v>V</v>
          </cell>
          <cell r="B13">
            <v>11.362051779968702</v>
          </cell>
        </row>
        <row r="16">
          <cell r="A16" t="str">
            <v>;AUTOVEICOLI CON PORTATA SUPERIORE A 30  q.li</v>
          </cell>
          <cell r="B16">
            <v>74.369793468886058</v>
          </cell>
        </row>
        <row r="17">
          <cell r="A17" t="str">
            <v>;RIMORCHI CON  PORTATA SUPERIORE A 30 q.li</v>
          </cell>
          <cell r="B17">
            <v>74.369793468886058</v>
          </cell>
        </row>
        <row r="18">
          <cell r="A18" t="str">
            <v>;AUTOVEICOLI CON PORTATA INFERIORE A 30 q.li</v>
          </cell>
          <cell r="B18">
            <v>49.579862312590706</v>
          </cell>
        </row>
        <row r="19">
          <cell r="A19" t="str">
            <v>;RIMORCHI CON PORTATA INFERIORE A 30 q.li</v>
          </cell>
          <cell r="B19">
            <v>49.579862312590706</v>
          </cell>
        </row>
        <row r="20">
          <cell r="A20" t="str">
            <v>;MOTOVEICOLI E VEICOLI  NON COMPRESI NELLE PRECEDENTI CATEGORIE</v>
          </cell>
          <cell r="B20">
            <v>24.789931156295353</v>
          </cell>
        </row>
        <row r="23">
          <cell r="A23" t="str">
            <v>I</v>
          </cell>
          <cell r="B23">
            <v>66.106483083454265</v>
          </cell>
        </row>
        <row r="24">
          <cell r="A24" t="str">
            <v>II</v>
          </cell>
          <cell r="B24">
            <v>57.843172698022485</v>
          </cell>
        </row>
        <row r="25">
          <cell r="A25" t="str">
            <v>III</v>
          </cell>
          <cell r="B25">
            <v>49.579862312590706</v>
          </cell>
        </row>
        <row r="26">
          <cell r="A26" t="str">
            <v>IV</v>
          </cell>
          <cell r="B26">
            <v>41.316551927158919</v>
          </cell>
        </row>
        <row r="27">
          <cell r="A27" t="str">
            <v>V</v>
          </cell>
          <cell r="B27">
            <v>33.053241541727132</v>
          </cell>
        </row>
        <row r="30">
          <cell r="A30" t="str">
            <v>I</v>
          </cell>
          <cell r="B30">
            <v>4.1316551927158915</v>
          </cell>
        </row>
        <row r="31">
          <cell r="A31" t="str">
            <v>II</v>
          </cell>
          <cell r="B31">
            <v>3.6151982936264053</v>
          </cell>
        </row>
        <row r="32">
          <cell r="A32" t="str">
            <v>III</v>
          </cell>
          <cell r="B32">
            <v>3.0987413945369191</v>
          </cell>
        </row>
        <row r="33">
          <cell r="A33" t="str">
            <v>IV</v>
          </cell>
          <cell r="B33">
            <v>2.5822844954474324</v>
          </cell>
        </row>
        <row r="34">
          <cell r="A34" t="str">
            <v>V</v>
          </cell>
          <cell r="B34">
            <v>2.0658275963579458</v>
          </cell>
        </row>
        <row r="37">
          <cell r="A37" t="str">
            <v>I</v>
          </cell>
          <cell r="B37">
            <v>19.625362165400485</v>
          </cell>
          <cell r="C37">
            <v>99.159724625181411</v>
          </cell>
          <cell r="D37">
            <v>49.579862312590706</v>
          </cell>
          <cell r="E37">
            <v>4.1316551927158915</v>
          </cell>
          <cell r="F37">
            <v>12.394965578147676</v>
          </cell>
        </row>
        <row r="38">
          <cell r="A38" t="str">
            <v>II</v>
          </cell>
          <cell r="B38">
            <v>17.55953456904254</v>
          </cell>
          <cell r="C38">
            <v>86.764759047033735</v>
          </cell>
          <cell r="D38">
            <v>43.382379523516867</v>
          </cell>
          <cell r="E38">
            <v>3.6151982936264053</v>
          </cell>
          <cell r="F38">
            <v>10.845594880879217</v>
          </cell>
        </row>
        <row r="39">
          <cell r="A39" t="str">
            <v>III</v>
          </cell>
          <cell r="B39">
            <v>15.493706972684596</v>
          </cell>
          <cell r="C39">
            <v>74.369793468886058</v>
          </cell>
          <cell r="D39">
            <v>37.184896734443029</v>
          </cell>
          <cell r="E39">
            <v>3.0987413945369191</v>
          </cell>
          <cell r="F39">
            <v>9.2962241836107573</v>
          </cell>
        </row>
        <row r="40">
          <cell r="A40" t="str">
            <v>IV</v>
          </cell>
          <cell r="B40">
            <v>13.427879376326649</v>
          </cell>
          <cell r="C40">
            <v>61.974827890738382</v>
          </cell>
          <cell r="D40">
            <v>30.987413945369191</v>
          </cell>
          <cell r="E40">
            <v>2.5822844954474324</v>
          </cell>
          <cell r="F40">
            <v>7.7468534863422978</v>
          </cell>
        </row>
        <row r="41">
          <cell r="A41" t="str">
            <v>V</v>
          </cell>
          <cell r="B41">
            <v>11.362051779968702</v>
          </cell>
          <cell r="C41">
            <v>49.579862312590706</v>
          </cell>
          <cell r="D41">
            <v>24.789931156295353</v>
          </cell>
          <cell r="E41">
            <v>2.0658275963579458</v>
          </cell>
          <cell r="F41">
            <v>6.1974827890738382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B14" sqref="B14"/>
    </sheetView>
  </sheetViews>
  <sheetFormatPr defaultRowHeight="14.25"/>
  <cols>
    <col min="1" max="1" width="42" customWidth="1"/>
    <col min="2" max="2" width="9.5" bestFit="1" customWidth="1"/>
  </cols>
  <sheetData>
    <row r="1" spans="1:2" ht="15">
      <c r="A1" s="274" t="s">
        <v>0</v>
      </c>
      <c r="B1" s="274"/>
    </row>
    <row r="2" spans="1:2" ht="15">
      <c r="A2" s="272" t="s">
        <v>1</v>
      </c>
      <c r="B2" s="272" t="s">
        <v>2</v>
      </c>
    </row>
    <row r="3" spans="1:2">
      <c r="A3" s="22" t="s">
        <v>3</v>
      </c>
      <c r="B3" s="22" t="s">
        <v>4</v>
      </c>
    </row>
    <row r="4" spans="1:2">
      <c r="A4" s="22" t="s">
        <v>5</v>
      </c>
      <c r="B4" s="22" t="s">
        <v>6</v>
      </c>
    </row>
    <row r="5" spans="1:2">
      <c r="A5" s="22" t="s">
        <v>7</v>
      </c>
      <c r="B5" s="22" t="s">
        <v>8</v>
      </c>
    </row>
    <row r="6" spans="1:2">
      <c r="A6" s="22" t="s">
        <v>9</v>
      </c>
      <c r="B6" s="22" t="s">
        <v>10</v>
      </c>
    </row>
    <row r="7" spans="1:2">
      <c r="A7" s="22" t="s">
        <v>11</v>
      </c>
      <c r="B7" s="22" t="s">
        <v>12</v>
      </c>
    </row>
    <row r="9" spans="1:2" ht="15">
      <c r="A9" s="274" t="s">
        <v>13</v>
      </c>
      <c r="B9" s="274"/>
    </row>
    <row r="10" spans="1:2" ht="15">
      <c r="A10" s="272" t="s">
        <v>1</v>
      </c>
      <c r="B10" s="272" t="s">
        <v>2</v>
      </c>
    </row>
    <row r="11" spans="1:2">
      <c r="A11" s="22" t="s">
        <v>3</v>
      </c>
      <c r="B11" s="22" t="s">
        <v>14</v>
      </c>
    </row>
    <row r="12" spans="1:2">
      <c r="A12" s="22" t="s">
        <v>5</v>
      </c>
      <c r="B12" s="22" t="s">
        <v>15</v>
      </c>
    </row>
    <row r="13" spans="1:2">
      <c r="A13" s="22" t="s">
        <v>7</v>
      </c>
      <c r="B13" s="22" t="s">
        <v>16</v>
      </c>
    </row>
    <row r="14" spans="1:2">
      <c r="A14" s="22" t="s">
        <v>9</v>
      </c>
      <c r="B14" s="22" t="s">
        <v>17</v>
      </c>
    </row>
    <row r="15" spans="1:2">
      <c r="A15" s="22" t="s">
        <v>11</v>
      </c>
      <c r="B15" s="22" t="s">
        <v>18</v>
      </c>
    </row>
    <row r="19" spans="1:1">
      <c r="A19" s="165" t="s">
        <v>19</v>
      </c>
    </row>
    <row r="20" spans="1:1">
      <c r="A20" s="165" t="s">
        <v>20</v>
      </c>
    </row>
    <row r="21" spans="1:1">
      <c r="A21" s="165" t="s">
        <v>21</v>
      </c>
    </row>
  </sheetData>
  <mergeCells count="2">
    <mergeCell ref="A1:B1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3"/>
  <sheetViews>
    <sheetView tabSelected="1" topLeftCell="A32" workbookViewId="0">
      <selection activeCell="H39" sqref="H39"/>
    </sheetView>
  </sheetViews>
  <sheetFormatPr defaultColWidth="10" defaultRowHeight="14.25"/>
  <cols>
    <col min="1" max="1" width="26" style="23" customWidth="1"/>
    <col min="2" max="2" width="4.125" style="23" customWidth="1"/>
    <col min="3" max="3" width="9.75" style="23" customWidth="1"/>
    <col min="4" max="4" width="12.25" style="23" customWidth="1"/>
    <col min="5" max="5" width="9.75" style="23" customWidth="1"/>
    <col min="6" max="6" width="10" style="23" customWidth="1"/>
    <col min="7" max="7" width="14" style="23" customWidth="1"/>
    <col min="8" max="8" width="12.25" style="23" customWidth="1"/>
    <col min="9" max="16384" width="10" style="23"/>
  </cols>
  <sheetData>
    <row r="1" spans="1:7">
      <c r="A1" s="281" t="s">
        <v>22</v>
      </c>
      <c r="B1" s="281"/>
      <c r="C1" s="281"/>
      <c r="D1" s="281"/>
      <c r="E1" s="281"/>
      <c r="F1" s="281"/>
      <c r="G1" s="281"/>
    </row>
    <row r="2" spans="1:7">
      <c r="A2" s="281" t="s">
        <v>23</v>
      </c>
      <c r="B2" s="281"/>
      <c r="C2" s="281"/>
      <c r="D2" s="281"/>
      <c r="E2" s="281"/>
      <c r="F2" s="281"/>
      <c r="G2" s="281"/>
    </row>
    <row r="3" spans="1:7">
      <c r="A3" s="24"/>
      <c r="B3" s="25"/>
      <c r="C3" s="26" t="s">
        <v>24</v>
      </c>
      <c r="D3" s="27"/>
      <c r="E3" s="27"/>
      <c r="F3" s="27"/>
      <c r="G3" s="27"/>
    </row>
    <row r="4" spans="1:7">
      <c r="A4" s="281" t="s">
        <v>25</v>
      </c>
      <c r="B4" s="281"/>
      <c r="C4" s="281"/>
      <c r="D4" s="281"/>
      <c r="E4" s="281"/>
      <c r="F4" s="281"/>
      <c r="G4" s="281"/>
    </row>
    <row r="5" spans="1:7" ht="12" customHeight="1">
      <c r="A5" s="282" t="s">
        <v>26</v>
      </c>
      <c r="B5" s="282"/>
      <c r="C5" s="282"/>
      <c r="D5" s="282"/>
      <c r="E5" s="282"/>
      <c r="F5" s="282"/>
      <c r="G5" s="282"/>
    </row>
    <row r="6" spans="1:7" ht="26.25">
      <c r="A6" s="283" t="s">
        <v>27</v>
      </c>
      <c r="B6" s="283"/>
      <c r="C6" s="283"/>
      <c r="D6" s="283"/>
      <c r="E6" s="283"/>
      <c r="F6" s="283"/>
      <c r="G6" s="283"/>
    </row>
    <row r="7" spans="1:7">
      <c r="A7" s="28"/>
      <c r="B7" s="28"/>
      <c r="C7" s="27"/>
      <c r="D7" s="27"/>
      <c r="E7" s="27"/>
      <c r="F7" s="27"/>
      <c r="G7" s="27"/>
    </row>
    <row r="8" spans="1:7">
      <c r="A8" s="29" t="s">
        <v>28</v>
      </c>
      <c r="B8" s="30" t="str">
        <f>'CONVERTITORE TARIFFE CANONE'!B2</f>
        <v>IV</v>
      </c>
      <c r="C8" s="31"/>
      <c r="D8" s="32"/>
      <c r="E8" s="29" t="s">
        <v>29</v>
      </c>
      <c r="F8" s="33">
        <f>'CONVERTITORE TARIFFE CANONE'!B4</f>
        <v>0</v>
      </c>
      <c r="G8" s="34"/>
    </row>
    <row r="9" spans="1:7">
      <c r="A9" s="35" t="s">
        <v>30</v>
      </c>
      <c r="B9" s="36"/>
      <c r="C9" s="37">
        <f>'CONVERTITORE TARIFFE CANONE'!B3</f>
        <v>0.3</v>
      </c>
      <c r="D9" s="38"/>
      <c r="E9" s="36"/>
      <c r="F9" s="39"/>
      <c r="G9" s="40"/>
    </row>
    <row r="10" spans="1:7">
      <c r="A10" s="27"/>
      <c r="B10" s="27"/>
      <c r="C10" s="27"/>
      <c r="D10" s="27"/>
      <c r="E10" s="27"/>
      <c r="F10" s="27"/>
      <c r="G10" s="27"/>
    </row>
    <row r="11" spans="1:7" ht="15.75">
      <c r="A11" s="27" t="s">
        <v>31</v>
      </c>
      <c r="B11" s="27"/>
      <c r="C11" s="27"/>
      <c r="D11" s="27"/>
      <c r="E11" s="27"/>
      <c r="F11" s="27"/>
      <c r="G11" s="27"/>
    </row>
    <row r="12" spans="1:7">
      <c r="A12" s="27"/>
      <c r="B12" s="27"/>
      <c r="C12" s="27"/>
      <c r="D12" s="27"/>
      <c r="E12" s="27"/>
      <c r="F12" s="27"/>
      <c r="G12" s="27"/>
    </row>
    <row r="13" spans="1:7" ht="33.75">
      <c r="A13" s="41"/>
      <c r="B13" s="42"/>
      <c r="C13" s="43"/>
      <c r="D13" s="43"/>
      <c r="E13" s="42"/>
      <c r="F13" s="44" t="s">
        <v>32</v>
      </c>
      <c r="G13" s="44" t="s">
        <v>33</v>
      </c>
    </row>
    <row r="14" spans="1:7">
      <c r="A14" s="41" t="s">
        <v>34</v>
      </c>
      <c r="B14" s="42"/>
      <c r="C14" s="43"/>
      <c r="D14" s="43"/>
      <c r="E14" s="42"/>
      <c r="F14" s="171">
        <f>VLOOKUP($B$8,[1]LEGGE!$A$2:$C$6,2)</f>
        <v>1.1362051779968703</v>
      </c>
      <c r="G14" s="45">
        <f>F14*(1+$C$9)</f>
        <v>1.4770667313959314</v>
      </c>
    </row>
    <row r="15" spans="1:7" ht="38.25">
      <c r="A15" s="46" t="s">
        <v>35</v>
      </c>
      <c r="B15" s="42"/>
      <c r="C15" s="43"/>
      <c r="D15" s="43"/>
      <c r="E15" s="42"/>
      <c r="F15" s="171">
        <f>VLOOKUP($B$8,[1]LEGGE!$A$2:$C$6,3)</f>
        <v>0.3408615533990611</v>
      </c>
      <c r="G15" s="45">
        <f>F15*(1+$C$9)</f>
        <v>0.44312001941877943</v>
      </c>
    </row>
    <row r="16" spans="1:7">
      <c r="A16" s="26"/>
      <c r="B16" s="26"/>
      <c r="C16" s="27"/>
      <c r="D16" s="27"/>
      <c r="E16" s="27"/>
      <c r="F16" s="27"/>
      <c r="G16" s="27"/>
    </row>
    <row r="17" spans="1:7">
      <c r="A17" s="27" t="s">
        <v>36</v>
      </c>
      <c r="B17" s="47" t="s">
        <v>37</v>
      </c>
      <c r="C17" s="48"/>
      <c r="D17" s="49">
        <v>1</v>
      </c>
      <c r="E17" s="24"/>
      <c r="F17" s="24"/>
      <c r="G17" s="24"/>
    </row>
    <row r="18" spans="1:7">
      <c r="A18" s="27" t="s">
        <v>38</v>
      </c>
      <c r="B18" s="47" t="s">
        <v>39</v>
      </c>
      <c r="C18" s="47"/>
      <c r="D18" s="49">
        <v>2</v>
      </c>
      <c r="E18" s="24"/>
      <c r="F18" s="24"/>
      <c r="G18" s="24"/>
    </row>
    <row r="19" spans="1:7">
      <c r="A19" s="27" t="s">
        <v>40</v>
      </c>
      <c r="B19" s="47" t="s">
        <v>41</v>
      </c>
      <c r="C19" s="47"/>
      <c r="D19" s="49">
        <v>4</v>
      </c>
      <c r="E19" s="24"/>
      <c r="F19" s="24"/>
      <c r="G19" s="24"/>
    </row>
    <row r="20" spans="1:7">
      <c r="A20" s="27" t="s">
        <v>42</v>
      </c>
      <c r="B20" s="47" t="s">
        <v>43</v>
      </c>
      <c r="C20" s="47"/>
      <c r="D20" s="49">
        <v>24</v>
      </c>
      <c r="E20" s="24"/>
      <c r="F20" s="24"/>
      <c r="G20" s="24"/>
    </row>
    <row r="21" spans="1:7">
      <c r="A21" s="27"/>
      <c r="B21" s="27"/>
      <c r="C21" s="27"/>
      <c r="D21" s="27"/>
      <c r="E21" s="27"/>
      <c r="F21" s="27"/>
      <c r="G21" s="27"/>
    </row>
    <row r="22" spans="1:7">
      <c r="A22" s="27"/>
      <c r="B22" s="27"/>
      <c r="C22" s="27"/>
      <c r="D22" s="27"/>
      <c r="E22" s="27"/>
      <c r="F22" s="27"/>
      <c r="G22" s="27"/>
    </row>
    <row r="23" spans="1:7">
      <c r="A23" s="50" t="s">
        <v>44</v>
      </c>
      <c r="B23" s="51"/>
      <c r="C23" s="52">
        <v>10</v>
      </c>
      <c r="D23" s="52">
        <v>15</v>
      </c>
      <c r="E23" s="52">
        <v>20</v>
      </c>
      <c r="F23" s="52">
        <v>25</v>
      </c>
      <c r="G23" s="52">
        <v>30</v>
      </c>
    </row>
    <row r="24" spans="1:7">
      <c r="A24" s="27"/>
      <c r="B24" s="27"/>
      <c r="C24" s="27"/>
      <c r="D24" s="27"/>
      <c r="E24" s="27"/>
      <c r="F24" s="27"/>
      <c r="G24" s="27"/>
    </row>
    <row r="25" spans="1:7">
      <c r="A25" s="164" t="s">
        <v>32</v>
      </c>
      <c r="B25" s="167"/>
      <c r="C25" s="168">
        <f>$F$14</f>
        <v>1.1362051779968703</v>
      </c>
      <c r="D25" s="168">
        <f>C25+$F$15</f>
        <v>1.4770667313959314</v>
      </c>
      <c r="E25" s="168">
        <f>D25+$F$15</f>
        <v>1.8179282847949925</v>
      </c>
      <c r="F25" s="168">
        <f>E25+$F$15</f>
        <v>2.1587898381940533</v>
      </c>
      <c r="G25" s="168">
        <f>F25+$F$15</f>
        <v>2.4996513915931144</v>
      </c>
    </row>
    <row r="26" spans="1:7">
      <c r="A26" s="41" t="s">
        <v>33</v>
      </c>
      <c r="B26" s="42"/>
      <c r="C26" s="53">
        <f>$G$14</f>
        <v>1.4770667313959314</v>
      </c>
      <c r="D26" s="53">
        <f>C26+$G$15</f>
        <v>1.9201867508147108</v>
      </c>
      <c r="E26" s="53">
        <f>D26+$G$15</f>
        <v>2.36330677023349</v>
      </c>
      <c r="F26" s="53">
        <f>E26+$G$15</f>
        <v>2.8064267896522694</v>
      </c>
      <c r="G26" s="53">
        <f>F26+$G$15</f>
        <v>3.2495468090710489</v>
      </c>
    </row>
    <row r="27" spans="1:7">
      <c r="A27" s="169" t="s">
        <v>45</v>
      </c>
      <c r="B27" s="170"/>
      <c r="C27" s="171">
        <f t="shared" ref="C27:G28" si="0">C25*(1+$F$8)</f>
        <v>1.1362051779968703</v>
      </c>
      <c r="D27" s="171">
        <f t="shared" si="0"/>
        <v>1.4770667313959314</v>
      </c>
      <c r="E27" s="171">
        <f t="shared" si="0"/>
        <v>1.8179282847949925</v>
      </c>
      <c r="F27" s="171">
        <f t="shared" si="0"/>
        <v>2.1587898381940533</v>
      </c>
      <c r="G27" s="171">
        <f t="shared" si="0"/>
        <v>2.4996513915931144</v>
      </c>
    </row>
    <row r="28" spans="1:7">
      <c r="A28" s="54" t="s">
        <v>46</v>
      </c>
      <c r="B28" s="55"/>
      <c r="C28" s="45">
        <f t="shared" si="0"/>
        <v>1.4770667313959314</v>
      </c>
      <c r="D28" s="45">
        <f t="shared" si="0"/>
        <v>1.9201867508147108</v>
      </c>
      <c r="E28" s="45">
        <f t="shared" si="0"/>
        <v>2.36330677023349</v>
      </c>
      <c r="F28" s="45">
        <f t="shared" si="0"/>
        <v>2.8064267896522694</v>
      </c>
      <c r="G28" s="45">
        <f t="shared" si="0"/>
        <v>3.2495468090710489</v>
      </c>
    </row>
    <row r="29" spans="1:7">
      <c r="A29" s="27"/>
      <c r="B29" s="27"/>
      <c r="C29" s="27"/>
      <c r="D29" s="27"/>
      <c r="E29" s="27"/>
      <c r="F29" s="27"/>
      <c r="G29" s="27"/>
    </row>
    <row r="30" spans="1:7">
      <c r="A30" s="56" t="s">
        <v>47</v>
      </c>
      <c r="B30" s="27"/>
      <c r="C30" s="27"/>
      <c r="D30" s="27"/>
      <c r="E30" s="27"/>
      <c r="F30" s="27"/>
      <c r="G30" s="27"/>
    </row>
    <row r="31" spans="1:7" ht="15.75">
      <c r="A31" s="27" t="s">
        <v>48</v>
      </c>
      <c r="B31" s="27"/>
      <c r="C31" s="27"/>
      <c r="D31" s="27"/>
      <c r="E31" s="27"/>
      <c r="F31" s="27"/>
      <c r="G31" s="27"/>
    </row>
    <row r="32" spans="1:7" ht="15.75">
      <c r="A32" s="27" t="s">
        <v>49</v>
      </c>
      <c r="B32" s="27"/>
      <c r="C32" s="27"/>
      <c r="D32" s="27"/>
      <c r="E32" s="27"/>
      <c r="F32" s="27"/>
      <c r="G32" s="27"/>
    </row>
    <row r="33" spans="1:7" ht="15.75">
      <c r="A33" s="27" t="s">
        <v>50</v>
      </c>
      <c r="B33" s="27"/>
      <c r="C33" s="27"/>
      <c r="D33" s="27"/>
      <c r="E33" s="27"/>
      <c r="F33" s="27"/>
      <c r="G33" s="27"/>
    </row>
    <row r="34" spans="1:7">
      <c r="A34" s="27"/>
      <c r="B34" s="27"/>
      <c r="C34" s="27"/>
      <c r="D34" s="27"/>
      <c r="E34" s="27"/>
      <c r="F34" s="27"/>
      <c r="G34" s="27"/>
    </row>
    <row r="35" spans="1:7">
      <c r="A35" s="27"/>
      <c r="B35" s="27"/>
      <c r="C35" s="27"/>
      <c r="D35" s="27"/>
      <c r="E35" s="27"/>
      <c r="F35" s="27"/>
      <c r="G35" s="27"/>
    </row>
    <row r="36" spans="1:7">
      <c r="A36" s="27" t="s">
        <v>51</v>
      </c>
      <c r="B36" s="27"/>
      <c r="C36" s="24"/>
      <c r="D36" s="27">
        <v>25.82</v>
      </c>
      <c r="E36" s="24"/>
      <c r="F36" s="27"/>
      <c r="G36" s="27"/>
    </row>
    <row r="37" spans="1:7">
      <c r="A37" s="27"/>
      <c r="B37" s="27"/>
      <c r="C37" s="24"/>
      <c r="D37" s="27"/>
      <c r="E37" s="24"/>
      <c r="F37" s="27"/>
      <c r="G37" s="27"/>
    </row>
    <row r="38" spans="1:7">
      <c r="A38" s="27"/>
      <c r="B38" s="27"/>
      <c r="C38" s="24"/>
      <c r="D38" s="27"/>
      <c r="E38" s="24"/>
      <c r="F38" s="27"/>
      <c r="G38" s="27"/>
    </row>
    <row r="39" spans="1:7" ht="57" customHeight="1">
      <c r="A39" s="275" t="s">
        <v>52</v>
      </c>
      <c r="B39" s="276"/>
      <c r="C39" s="276"/>
      <c r="D39" s="276"/>
      <c r="E39" s="276"/>
      <c r="F39" s="276"/>
      <c r="G39" s="277"/>
    </row>
    <row r="40" spans="1:7">
      <c r="A40" s="278"/>
      <c r="B40" s="279"/>
      <c r="C40" s="279"/>
      <c r="D40" s="279"/>
      <c r="E40" s="279"/>
      <c r="F40" s="279"/>
      <c r="G40" s="280"/>
    </row>
    <row r="41" spans="1:7">
      <c r="A41" s="27"/>
      <c r="B41" s="27"/>
      <c r="C41" s="24"/>
      <c r="D41" s="27"/>
      <c r="E41" s="24"/>
      <c r="F41" s="27"/>
      <c r="G41" s="27"/>
    </row>
    <row r="42" spans="1:7">
      <c r="A42" s="27"/>
      <c r="B42" s="27"/>
      <c r="C42" s="24"/>
      <c r="D42" s="27"/>
      <c r="E42" s="24"/>
      <c r="F42" s="27"/>
      <c r="G42" s="27"/>
    </row>
    <row r="43" spans="1:7">
      <c r="A43" s="27"/>
      <c r="B43" s="27"/>
      <c r="C43" s="24"/>
      <c r="D43" s="27"/>
      <c r="E43" s="24"/>
      <c r="F43" s="27"/>
      <c r="G43" s="27"/>
    </row>
    <row r="44" spans="1:7">
      <c r="A44" s="281" t="s">
        <v>53</v>
      </c>
      <c r="B44" s="281"/>
      <c r="C44" s="281"/>
      <c r="D44" s="281"/>
      <c r="E44" s="281"/>
      <c r="F44" s="281"/>
      <c r="G44" s="281"/>
    </row>
    <row r="45" spans="1:7">
      <c r="A45" s="281" t="s">
        <v>23</v>
      </c>
      <c r="B45" s="281"/>
      <c r="C45" s="281"/>
      <c r="D45" s="281"/>
      <c r="E45" s="281"/>
      <c r="F45" s="281"/>
      <c r="G45" s="281"/>
    </row>
    <row r="46" spans="1:7">
      <c r="A46" s="24"/>
      <c r="B46" s="25"/>
      <c r="C46" s="26" t="s">
        <v>24</v>
      </c>
      <c r="D46" s="27"/>
      <c r="E46" s="27"/>
      <c r="F46" s="27"/>
      <c r="G46" s="27"/>
    </row>
    <row r="47" spans="1:7">
      <c r="A47" s="281" t="s">
        <v>25</v>
      </c>
      <c r="B47" s="281"/>
      <c r="C47" s="281"/>
      <c r="D47" s="281"/>
      <c r="E47" s="281"/>
      <c r="F47" s="281"/>
      <c r="G47" s="281"/>
    </row>
    <row r="48" spans="1:7" ht="12" customHeight="1">
      <c r="A48" s="282" t="s">
        <v>26</v>
      </c>
      <c r="B48" s="282"/>
      <c r="C48" s="282"/>
      <c r="D48" s="282"/>
      <c r="E48" s="282"/>
      <c r="F48" s="282"/>
      <c r="G48" s="282"/>
    </row>
    <row r="49" spans="1:8">
      <c r="A49" s="25"/>
      <c r="B49" s="25"/>
      <c r="C49" s="27"/>
      <c r="D49" s="27"/>
      <c r="E49" s="27"/>
      <c r="F49" s="27"/>
      <c r="G49" s="27"/>
    </row>
    <row r="50" spans="1:8">
      <c r="A50" s="57" t="str">
        <f>A8</f>
        <v>COMUNE DI CLASSE</v>
      </c>
      <c r="B50" s="58" t="str">
        <f>B8</f>
        <v>IV</v>
      </c>
      <c r="C50" s="59"/>
      <c r="D50" s="60"/>
      <c r="E50" s="61" t="s">
        <v>29</v>
      </c>
      <c r="F50" s="62">
        <f>F8</f>
        <v>0</v>
      </c>
      <c r="G50" s="63"/>
    </row>
    <row r="51" spans="1:8">
      <c r="A51" s="35" t="s">
        <v>30</v>
      </c>
      <c r="B51" s="64"/>
      <c r="C51" s="65">
        <f>C9</f>
        <v>0.3</v>
      </c>
      <c r="D51" s="66" t="s">
        <v>54</v>
      </c>
      <c r="E51" s="67"/>
      <c r="F51" s="67"/>
      <c r="G51" s="27"/>
    </row>
    <row r="52" spans="1:8">
      <c r="A52" s="35" t="s">
        <v>55</v>
      </c>
      <c r="B52" s="64"/>
      <c r="C52" s="65">
        <v>1</v>
      </c>
      <c r="D52" s="66"/>
      <c r="E52" s="67"/>
      <c r="F52" s="67"/>
      <c r="G52" s="27"/>
    </row>
    <row r="53" spans="1:8">
      <c r="A53" s="68"/>
      <c r="B53" s="69"/>
      <c r="C53" s="70"/>
      <c r="D53" s="71"/>
      <c r="E53" s="27"/>
      <c r="F53" s="27"/>
      <c r="G53" s="27"/>
    </row>
    <row r="54" spans="1:8" ht="15.75">
      <c r="A54" s="27" t="s">
        <v>56</v>
      </c>
      <c r="B54" s="27"/>
      <c r="C54" s="27"/>
      <c r="D54" s="27"/>
      <c r="E54" s="27"/>
      <c r="F54" s="27"/>
      <c r="G54" s="27"/>
    </row>
    <row r="55" spans="1:8">
      <c r="A55" s="27"/>
      <c r="B55" s="27"/>
      <c r="C55" s="27"/>
      <c r="D55" s="27"/>
      <c r="E55" s="27"/>
      <c r="F55" s="27"/>
      <c r="G55" s="27"/>
    </row>
    <row r="56" spans="1:8" ht="23.25" thickBot="1">
      <c r="A56" s="72" t="s">
        <v>57</v>
      </c>
      <c r="B56" s="72"/>
      <c r="C56" s="73" t="s">
        <v>58</v>
      </c>
      <c r="D56" s="73" t="s">
        <v>59</v>
      </c>
      <c r="E56" s="73" t="s">
        <v>60</v>
      </c>
      <c r="F56" s="74" t="s">
        <v>61</v>
      </c>
      <c r="G56" s="73" t="s">
        <v>62</v>
      </c>
      <c r="H56" s="75"/>
    </row>
    <row r="57" spans="1:8" ht="26.85" customHeight="1">
      <c r="A57" s="186" t="s">
        <v>63</v>
      </c>
      <c r="B57" s="187"/>
      <c r="C57" s="188">
        <f t="shared" ref="C57:C64" si="1">F57/10</f>
        <v>1.3427879376326648</v>
      </c>
      <c r="D57" s="188">
        <f t="shared" ref="D57:D64" si="2">C57*2</f>
        <v>2.6855758752653296</v>
      </c>
      <c r="E57" s="188">
        <f t="shared" ref="E57:E64" si="3">C57*3</f>
        <v>4.0283638128979948</v>
      </c>
      <c r="F57" s="188">
        <f>VLOOKUP($B$50,[1]LEGGE!$A$9:$B$13,2,0)</f>
        <v>13.427879376326649</v>
      </c>
      <c r="G57" s="76"/>
      <c r="H57" s="77"/>
    </row>
    <row r="58" spans="1:8" ht="25.5">
      <c r="A58" s="78" t="s">
        <v>64</v>
      </c>
      <c r="B58" s="79"/>
      <c r="C58" s="80">
        <f t="shared" si="1"/>
        <v>1.7456243189224643</v>
      </c>
      <c r="D58" s="80">
        <f t="shared" si="2"/>
        <v>3.4912486378449286</v>
      </c>
      <c r="E58" s="80">
        <f t="shared" si="3"/>
        <v>5.2368729567673924</v>
      </c>
      <c r="F58" s="81">
        <f>F57*(1+$C$51)</f>
        <v>17.456243189224644</v>
      </c>
      <c r="G58" s="82"/>
      <c r="H58" s="83"/>
    </row>
    <row r="59" spans="1:8" ht="23.25" customHeight="1">
      <c r="A59" s="84" t="s">
        <v>65</v>
      </c>
      <c r="B59" s="85"/>
      <c r="C59" s="86">
        <f t="shared" si="1"/>
        <v>2.6184364783836966</v>
      </c>
      <c r="D59" s="86">
        <f t="shared" si="2"/>
        <v>5.2368729567673933</v>
      </c>
      <c r="E59" s="86">
        <f t="shared" si="3"/>
        <v>7.8553094351510904</v>
      </c>
      <c r="F59" s="86">
        <f>F58*(1+$G$59)</f>
        <v>26.184364783836966</v>
      </c>
      <c r="G59" s="87">
        <v>0.5</v>
      </c>
      <c r="H59" s="88"/>
    </row>
    <row r="60" spans="1:8" ht="25.5" customHeight="1" thickBot="1">
      <c r="A60" s="89" t="s">
        <v>66</v>
      </c>
      <c r="B60" s="90"/>
      <c r="C60" s="91">
        <f t="shared" si="1"/>
        <v>3.4912486378449286</v>
      </c>
      <c r="D60" s="91">
        <f t="shared" si="2"/>
        <v>6.9824972756898571</v>
      </c>
      <c r="E60" s="91">
        <f t="shared" si="3"/>
        <v>10.473745913534785</v>
      </c>
      <c r="F60" s="91">
        <f>F58*(1+$G60)</f>
        <v>34.912486378449287</v>
      </c>
      <c r="G60" s="92">
        <v>1</v>
      </c>
      <c r="H60" s="93"/>
    </row>
    <row r="61" spans="1:8" ht="23.85" customHeight="1" thickTop="1">
      <c r="A61" s="175" t="s">
        <v>67</v>
      </c>
      <c r="B61" s="176"/>
      <c r="C61" s="177">
        <f t="shared" si="1"/>
        <v>2.6855758752653296</v>
      </c>
      <c r="D61" s="177">
        <f t="shared" si="2"/>
        <v>5.3711517505306592</v>
      </c>
      <c r="E61" s="177">
        <f t="shared" si="3"/>
        <v>8.0567276257959897</v>
      </c>
      <c r="F61" s="177">
        <f>F57*(1+$C$52)</f>
        <v>26.855758752653298</v>
      </c>
      <c r="G61" s="94"/>
      <c r="H61" s="95"/>
    </row>
    <row r="62" spans="1:8" ht="25.5">
      <c r="A62" s="96" t="s">
        <v>68</v>
      </c>
      <c r="B62" s="97"/>
      <c r="C62" s="98">
        <f t="shared" si="1"/>
        <v>3.4912486378449286</v>
      </c>
      <c r="D62" s="98">
        <f t="shared" si="2"/>
        <v>6.9824972756898571</v>
      </c>
      <c r="E62" s="98">
        <f t="shared" si="3"/>
        <v>10.473745913534785</v>
      </c>
      <c r="F62" s="98">
        <f>F58*(1+$C$52)</f>
        <v>34.912486378449287</v>
      </c>
      <c r="G62" s="99"/>
      <c r="H62" s="100"/>
    </row>
    <row r="63" spans="1:8" ht="22.5" customHeight="1">
      <c r="A63" s="96" t="s">
        <v>69</v>
      </c>
      <c r="B63" s="97"/>
      <c r="C63" s="98">
        <f t="shared" si="1"/>
        <v>4.3640607973061609</v>
      </c>
      <c r="D63" s="98">
        <f t="shared" si="2"/>
        <v>8.7281215946123218</v>
      </c>
      <c r="E63" s="98">
        <f t="shared" si="3"/>
        <v>13.092182391918483</v>
      </c>
      <c r="F63" s="98">
        <f>F62+F58/2</f>
        <v>43.640607973061606</v>
      </c>
      <c r="G63" s="99"/>
      <c r="H63" s="100"/>
    </row>
    <row r="64" spans="1:8" ht="24.75" customHeight="1" thickBot="1">
      <c r="A64" s="101" t="s">
        <v>70</v>
      </c>
      <c r="B64" s="102"/>
      <c r="C64" s="103">
        <f t="shared" si="1"/>
        <v>5.2368729567673933</v>
      </c>
      <c r="D64" s="103">
        <f t="shared" si="2"/>
        <v>10.473745913534787</v>
      </c>
      <c r="E64" s="103">
        <f t="shared" si="3"/>
        <v>15.710618870302181</v>
      </c>
      <c r="F64" s="103">
        <f>F62+F58</f>
        <v>52.368729567673931</v>
      </c>
      <c r="G64" s="104"/>
      <c r="H64" s="105"/>
    </row>
    <row r="65" spans="1:8" ht="24.75" customHeight="1" thickBot="1">
      <c r="A65" s="285" t="s">
        <v>71</v>
      </c>
      <c r="B65" s="286"/>
      <c r="C65" s="286"/>
      <c r="D65" s="286"/>
      <c r="E65" s="286"/>
      <c r="F65" s="286"/>
      <c r="G65" s="286"/>
      <c r="H65" s="287"/>
    </row>
    <row r="66" spans="1:8" ht="26.85" customHeight="1">
      <c r="A66" s="172" t="s">
        <v>63</v>
      </c>
      <c r="B66" s="173"/>
      <c r="C66" s="174">
        <f t="shared" ref="C66:C73" si="4">F66/10</f>
        <v>1.3427879376326648</v>
      </c>
      <c r="D66" s="174">
        <f t="shared" ref="D66:D73" si="5">C66*2</f>
        <v>2.6855758752653296</v>
      </c>
      <c r="E66" s="174">
        <f t="shared" ref="E66:E73" si="6">C66*3</f>
        <v>4.0283638128979948</v>
      </c>
      <c r="F66" s="174">
        <f>$F$57*(1+F50)</f>
        <v>13.427879376326649</v>
      </c>
      <c r="G66" s="76"/>
      <c r="H66" s="77"/>
    </row>
    <row r="67" spans="1:8" ht="25.5">
      <c r="A67" s="78" t="s">
        <v>64</v>
      </c>
      <c r="B67" s="79"/>
      <c r="C67" s="80">
        <f t="shared" si="4"/>
        <v>1.7456243189224643</v>
      </c>
      <c r="D67" s="80">
        <f t="shared" si="5"/>
        <v>3.4912486378449286</v>
      </c>
      <c r="E67" s="80">
        <f t="shared" si="6"/>
        <v>5.2368729567673924</v>
      </c>
      <c r="F67" s="81">
        <f>F66*(1+$C$51)</f>
        <v>17.456243189224644</v>
      </c>
      <c r="G67" s="82"/>
      <c r="H67" s="83"/>
    </row>
    <row r="68" spans="1:8" ht="23.25" customHeight="1">
      <c r="A68" s="84" t="s">
        <v>65</v>
      </c>
      <c r="B68" s="85"/>
      <c r="C68" s="86">
        <f t="shared" si="4"/>
        <v>2.6184364783836966</v>
      </c>
      <c r="D68" s="86">
        <f t="shared" si="5"/>
        <v>5.2368729567673933</v>
      </c>
      <c r="E68" s="86">
        <f t="shared" si="6"/>
        <v>7.8553094351510904</v>
      </c>
      <c r="F68" s="86">
        <f>F58+(F58/2)+(F58*F50)</f>
        <v>26.184364783836966</v>
      </c>
      <c r="G68" s="87">
        <v>0.5</v>
      </c>
      <c r="H68" s="88"/>
    </row>
    <row r="69" spans="1:8" ht="25.5" customHeight="1" thickBot="1">
      <c r="A69" s="89" t="s">
        <v>66</v>
      </c>
      <c r="B69" s="90"/>
      <c r="C69" s="91">
        <f t="shared" si="4"/>
        <v>3.4912486378449286</v>
      </c>
      <c r="D69" s="91">
        <f t="shared" si="5"/>
        <v>6.9824972756898571</v>
      </c>
      <c r="E69" s="91">
        <f t="shared" si="6"/>
        <v>10.473745913534785</v>
      </c>
      <c r="F69" s="91">
        <f>F58+F58+(F58*F50)</f>
        <v>34.912486378449287</v>
      </c>
      <c r="G69" s="92">
        <v>1</v>
      </c>
      <c r="H69" s="93"/>
    </row>
    <row r="70" spans="1:8" ht="23.85" customHeight="1" thickTop="1">
      <c r="A70" s="175" t="s">
        <v>67</v>
      </c>
      <c r="B70" s="176"/>
      <c r="C70" s="177">
        <f t="shared" si="4"/>
        <v>2.6855758752653296</v>
      </c>
      <c r="D70" s="177">
        <f t="shared" si="5"/>
        <v>5.3711517505306592</v>
      </c>
      <c r="E70" s="177">
        <f t="shared" si="6"/>
        <v>8.0567276257959897</v>
      </c>
      <c r="F70" s="177">
        <f>F57+F57+(F57*F50)</f>
        <v>26.855758752653298</v>
      </c>
      <c r="G70" s="94"/>
      <c r="H70" s="95"/>
    </row>
    <row r="71" spans="1:8" ht="25.5">
      <c r="A71" s="96" t="s">
        <v>68</v>
      </c>
      <c r="B71" s="97"/>
      <c r="C71" s="98">
        <f t="shared" si="4"/>
        <v>3.4912486378449286</v>
      </c>
      <c r="D71" s="98">
        <f t="shared" si="5"/>
        <v>6.9824972756898571</v>
      </c>
      <c r="E71" s="98">
        <f t="shared" si="6"/>
        <v>10.473745913534785</v>
      </c>
      <c r="F71" s="98">
        <f>F58+F58+(F58*F50)</f>
        <v>34.912486378449287</v>
      </c>
      <c r="G71" s="99"/>
      <c r="H71" s="100"/>
    </row>
    <row r="72" spans="1:8" ht="22.5" customHeight="1">
      <c r="A72" s="96" t="s">
        <v>69</v>
      </c>
      <c r="B72" s="97"/>
      <c r="C72" s="98">
        <f t="shared" si="4"/>
        <v>4.3640607973061609</v>
      </c>
      <c r="D72" s="98">
        <f t="shared" si="5"/>
        <v>8.7281215946123218</v>
      </c>
      <c r="E72" s="98">
        <f t="shared" si="6"/>
        <v>13.092182391918483</v>
      </c>
      <c r="F72" s="98">
        <f>F58+F58+(F58*F50)+(F58*50%)</f>
        <v>43.640607973061606</v>
      </c>
      <c r="G72" s="99"/>
      <c r="H72" s="100"/>
    </row>
    <row r="73" spans="1:8" ht="24.75" customHeight="1" thickBot="1">
      <c r="A73" s="101" t="s">
        <v>70</v>
      </c>
      <c r="B73" s="102"/>
      <c r="C73" s="103">
        <f t="shared" si="4"/>
        <v>5.2368729567673933</v>
      </c>
      <c r="D73" s="103">
        <f t="shared" si="5"/>
        <v>10.473745913534787</v>
      </c>
      <c r="E73" s="103">
        <f t="shared" si="6"/>
        <v>15.710618870302181</v>
      </c>
      <c r="F73" s="103">
        <f>F58+F58+(F58*F50)+F58</f>
        <v>52.368729567673931</v>
      </c>
      <c r="G73" s="104"/>
      <c r="H73" s="105"/>
    </row>
    <row r="74" spans="1:8">
      <c r="A74" s="27" t="s">
        <v>72</v>
      </c>
      <c r="B74" s="27"/>
      <c r="C74" s="27"/>
      <c r="D74" s="27"/>
      <c r="E74" s="27"/>
      <c r="F74" s="27"/>
      <c r="G74" s="27"/>
    </row>
    <row r="75" spans="1:8">
      <c r="A75" s="27" t="s">
        <v>73</v>
      </c>
      <c r="B75" s="106"/>
      <c r="C75" s="106"/>
      <c r="D75" s="106"/>
      <c r="E75" s="106"/>
      <c r="F75" s="106"/>
      <c r="G75" s="106"/>
    </row>
    <row r="76" spans="1:8">
      <c r="A76" s="106" t="s">
        <v>74</v>
      </c>
      <c r="B76" s="106"/>
      <c r="C76" s="106"/>
      <c r="D76" s="106"/>
      <c r="E76" s="106"/>
      <c r="F76" s="106"/>
      <c r="G76" s="106"/>
    </row>
    <row r="77" spans="1:8">
      <c r="A77" s="27" t="s">
        <v>75</v>
      </c>
      <c r="B77" s="106"/>
      <c r="C77" s="106"/>
      <c r="D77" s="106"/>
      <c r="E77" s="106"/>
      <c r="F77" s="106"/>
      <c r="G77" s="106"/>
    </row>
    <row r="78" spans="1:8">
      <c r="A78" s="28" t="s">
        <v>76</v>
      </c>
      <c r="B78" s="107"/>
      <c r="C78" s="106"/>
      <c r="D78" s="106"/>
      <c r="E78" s="106"/>
      <c r="F78" s="106"/>
      <c r="G78" s="106"/>
    </row>
    <row r="79" spans="1:8">
      <c r="A79" s="27"/>
      <c r="B79" s="27"/>
      <c r="C79" s="27"/>
      <c r="D79" s="27"/>
      <c r="E79" s="27"/>
      <c r="F79" s="27"/>
      <c r="G79" s="27"/>
    </row>
    <row r="80" spans="1:8" ht="36.75" customHeight="1">
      <c r="A80" s="288" t="s">
        <v>77</v>
      </c>
      <c r="B80" s="288"/>
      <c r="C80" s="288"/>
      <c r="D80" s="288"/>
      <c r="E80" s="288"/>
      <c r="F80" s="288"/>
      <c r="G80" s="288"/>
    </row>
    <row r="81" spans="1:12">
      <c r="A81" s="27"/>
      <c r="B81" s="27"/>
      <c r="C81" s="27"/>
      <c r="D81" s="27"/>
      <c r="E81" s="27"/>
      <c r="F81" s="27"/>
      <c r="G81" s="27"/>
    </row>
    <row r="82" spans="1:12" ht="15.75">
      <c r="A82" s="164" t="s">
        <v>78</v>
      </c>
      <c r="B82" s="167"/>
      <c r="C82" s="167"/>
      <c r="D82" s="167"/>
      <c r="E82" s="178"/>
      <c r="F82" s="179">
        <f>VLOOKUP(A82,[1]LEGGE!$A$16:$B$20,2,0)</f>
        <v>74.369793468886058</v>
      </c>
      <c r="G82" s="108"/>
      <c r="K82" s="109"/>
      <c r="L82" s="109"/>
    </row>
    <row r="83" spans="1:12" ht="15.75">
      <c r="A83" s="164" t="s">
        <v>79</v>
      </c>
      <c r="B83" s="167"/>
      <c r="C83" s="167"/>
      <c r="D83" s="167"/>
      <c r="E83" s="178"/>
      <c r="F83" s="179">
        <f>VLOOKUP(A83,[1]LEGGE!$A$16:$B$20,2,0)</f>
        <v>74.369793468886058</v>
      </c>
      <c r="G83" s="110"/>
    </row>
    <row r="84" spans="1:12" ht="15.75">
      <c r="A84" s="164" t="s">
        <v>80</v>
      </c>
      <c r="B84" s="167"/>
      <c r="C84" s="167"/>
      <c r="D84" s="167"/>
      <c r="E84" s="178"/>
      <c r="F84" s="179">
        <f>VLOOKUP(A84,[1]LEGGE!$A$16:$B$20,2,0)</f>
        <v>49.579862312590706</v>
      </c>
      <c r="G84" s="110"/>
    </row>
    <row r="85" spans="1:12" ht="15.75">
      <c r="A85" s="180" t="s">
        <v>81</v>
      </c>
      <c r="B85" s="181"/>
      <c r="C85" s="181"/>
      <c r="D85" s="181"/>
      <c r="E85" s="182"/>
      <c r="F85" s="179">
        <f>VLOOKUP(A85,[1]LEGGE!$A$16:$B$20,2,0)</f>
        <v>49.579862312590706</v>
      </c>
      <c r="G85" s="111"/>
    </row>
    <row r="86" spans="1:12" s="112" customFormat="1" ht="40.5" customHeight="1">
      <c r="A86" s="289" t="s">
        <v>82</v>
      </c>
      <c r="B86" s="289"/>
      <c r="C86" s="289"/>
      <c r="D86" s="289"/>
      <c r="E86" s="183"/>
      <c r="F86" s="179">
        <f>VLOOKUP(A86,[1]LEGGE!$A$16:$B$20,2,0)</f>
        <v>24.789931156295353</v>
      </c>
      <c r="G86" s="85"/>
    </row>
    <row r="87" spans="1:12" s="112" customFormat="1" ht="7.5" customHeight="1">
      <c r="A87" s="113"/>
      <c r="B87" s="113"/>
      <c r="C87" s="113"/>
      <c r="D87" s="113"/>
      <c r="E87" s="38"/>
      <c r="F87" s="114"/>
      <c r="G87" s="115"/>
    </row>
    <row r="88" spans="1:12" s="112" customFormat="1" ht="3" customHeight="1">
      <c r="A88" s="113"/>
      <c r="B88" s="113"/>
      <c r="C88" s="113"/>
      <c r="D88" s="113"/>
      <c r="E88" s="38"/>
      <c r="F88" s="114"/>
      <c r="G88" s="115"/>
    </row>
    <row r="89" spans="1:12">
      <c r="A89" s="27"/>
      <c r="B89" s="27"/>
      <c r="C89" s="27"/>
      <c r="D89" s="27"/>
      <c r="E89" s="27"/>
      <c r="F89" s="27"/>
      <c r="G89" s="27"/>
    </row>
    <row r="90" spans="1:12" ht="15.75">
      <c r="A90" s="27" t="s">
        <v>83</v>
      </c>
      <c r="B90" s="27"/>
      <c r="C90" s="27"/>
      <c r="D90" s="27"/>
      <c r="E90" s="27"/>
      <c r="F90" s="27"/>
      <c r="G90" s="27"/>
    </row>
    <row r="91" spans="1:12">
      <c r="A91" s="27" t="s">
        <v>84</v>
      </c>
      <c r="B91" s="27"/>
      <c r="C91" s="27"/>
      <c r="D91" s="27"/>
      <c r="E91" s="27"/>
      <c r="F91" s="27"/>
      <c r="G91" s="27"/>
    </row>
    <row r="92" spans="1:12" ht="15" thickBot="1">
      <c r="A92" s="27"/>
      <c r="B92" s="27"/>
      <c r="C92" s="27"/>
      <c r="D92" s="27"/>
      <c r="E92" s="27"/>
      <c r="F92" s="27"/>
      <c r="G92" s="27"/>
    </row>
    <row r="93" spans="1:12" ht="23.25" thickBot="1">
      <c r="A93" s="116"/>
      <c r="B93" s="117"/>
      <c r="C93" s="118" t="s">
        <v>58</v>
      </c>
      <c r="D93" s="118" t="s">
        <v>59</v>
      </c>
      <c r="E93" s="118" t="s">
        <v>60</v>
      </c>
      <c r="F93" s="119" t="s">
        <v>61</v>
      </c>
      <c r="G93" s="120" t="s">
        <v>62</v>
      </c>
      <c r="H93" s="121"/>
    </row>
    <row r="94" spans="1:12">
      <c r="A94" s="175" t="s">
        <v>85</v>
      </c>
      <c r="B94" s="176"/>
      <c r="C94" s="177">
        <f t="shared" ref="C94:C101" si="7">F94/10</f>
        <v>4.1316551927158915</v>
      </c>
      <c r="D94" s="177">
        <f t="shared" ref="D94:D101" si="8">C94*2</f>
        <v>8.2633103854317831</v>
      </c>
      <c r="E94" s="177">
        <f t="shared" ref="E94:E101" si="9">C94*3</f>
        <v>12.394965578147675</v>
      </c>
      <c r="F94" s="177">
        <f>VLOOKUP($B$50,[1]LEGGE!$A$23:$B$27,2,0)</f>
        <v>41.316551927158919</v>
      </c>
      <c r="G94" s="123"/>
      <c r="H94" s="124"/>
    </row>
    <row r="95" spans="1:12" ht="25.5">
      <c r="A95" s="78" t="s">
        <v>64</v>
      </c>
      <c r="B95" s="79"/>
      <c r="C95" s="80">
        <f t="shared" si="7"/>
        <v>5.3711517505306592</v>
      </c>
      <c r="D95" s="80">
        <f t="shared" si="8"/>
        <v>10.742303501061318</v>
      </c>
      <c r="E95" s="80">
        <f t="shared" si="9"/>
        <v>16.113455251591979</v>
      </c>
      <c r="F95" s="81">
        <f>F94*(1+$C$51)</f>
        <v>53.711517505306595</v>
      </c>
      <c r="G95" s="82"/>
      <c r="H95" s="83"/>
    </row>
    <row r="96" spans="1:12" ht="25.5">
      <c r="A96" s="84" t="s">
        <v>65</v>
      </c>
      <c r="B96" s="85"/>
      <c r="C96" s="86">
        <f t="shared" si="7"/>
        <v>8.0567276257959897</v>
      </c>
      <c r="D96" s="86">
        <f t="shared" si="8"/>
        <v>16.113455251591979</v>
      </c>
      <c r="E96" s="86">
        <f t="shared" si="9"/>
        <v>24.170182877387969</v>
      </c>
      <c r="F96" s="86">
        <f>F95*(1+$G96)</f>
        <v>80.56727625795989</v>
      </c>
      <c r="G96" s="87">
        <v>0.5</v>
      </c>
      <c r="H96" s="88"/>
    </row>
    <row r="97" spans="1:8" ht="26.25" thickBot="1">
      <c r="A97" s="125" t="s">
        <v>66</v>
      </c>
      <c r="B97" s="126"/>
      <c r="C97" s="127">
        <f t="shared" si="7"/>
        <v>10.742303501061318</v>
      </c>
      <c r="D97" s="127">
        <f t="shared" si="8"/>
        <v>21.484607002122637</v>
      </c>
      <c r="E97" s="127">
        <f t="shared" si="9"/>
        <v>32.226910503183959</v>
      </c>
      <c r="F97" s="127">
        <f>F95*(1+$G97)</f>
        <v>107.42303501061319</v>
      </c>
      <c r="G97" s="128">
        <v>1</v>
      </c>
      <c r="H97" s="129"/>
    </row>
    <row r="98" spans="1:8">
      <c r="A98" s="175" t="s">
        <v>86</v>
      </c>
      <c r="B98" s="176"/>
      <c r="C98" s="177">
        <f t="shared" si="7"/>
        <v>4.1316551927158915</v>
      </c>
      <c r="D98" s="177">
        <f t="shared" si="8"/>
        <v>8.2633103854317831</v>
      </c>
      <c r="E98" s="177">
        <f t="shared" si="9"/>
        <v>12.394965578147675</v>
      </c>
      <c r="F98" s="177">
        <f>F94*(1+F50)</f>
        <v>41.316551927158919</v>
      </c>
      <c r="G98" s="131"/>
      <c r="H98" s="132"/>
    </row>
    <row r="99" spans="1:8" ht="25.5">
      <c r="A99" s="133" t="s">
        <v>87</v>
      </c>
      <c r="B99" s="134"/>
      <c r="C99" s="135">
        <f t="shared" si="7"/>
        <v>5.3711517505306592</v>
      </c>
      <c r="D99" s="135">
        <f t="shared" si="8"/>
        <v>10.742303501061318</v>
      </c>
      <c r="E99" s="135">
        <f t="shared" si="9"/>
        <v>16.113455251591979</v>
      </c>
      <c r="F99" s="136">
        <f>F95+(F95*F50)</f>
        <v>53.711517505306595</v>
      </c>
      <c r="G99" s="137"/>
      <c r="H99" s="138"/>
    </row>
    <row r="100" spans="1:8" ht="25.5">
      <c r="A100" s="133" t="s">
        <v>88</v>
      </c>
      <c r="B100" s="134"/>
      <c r="C100" s="135">
        <f t="shared" si="7"/>
        <v>7.4369793468886058</v>
      </c>
      <c r="D100" s="135">
        <f t="shared" si="8"/>
        <v>14.873958693777212</v>
      </c>
      <c r="E100" s="135">
        <f t="shared" si="9"/>
        <v>22.310938040665818</v>
      </c>
      <c r="F100" s="135">
        <f>F99+(F98/2)</f>
        <v>74.369793468886058</v>
      </c>
      <c r="G100" s="137">
        <v>0.5</v>
      </c>
      <c r="H100" s="138"/>
    </row>
    <row r="101" spans="1:8" ht="26.25" thickBot="1">
      <c r="A101" s="139" t="s">
        <v>89</v>
      </c>
      <c r="B101" s="140"/>
      <c r="C101" s="141">
        <f t="shared" si="7"/>
        <v>9.5028069432465507</v>
      </c>
      <c r="D101" s="141">
        <f t="shared" si="8"/>
        <v>19.005613886493101</v>
      </c>
      <c r="E101" s="141">
        <f t="shared" si="9"/>
        <v>28.508420829739652</v>
      </c>
      <c r="F101" s="141">
        <f>F99+F98</f>
        <v>95.028069432465514</v>
      </c>
      <c r="G101" s="142">
        <v>1</v>
      </c>
      <c r="H101" s="143"/>
    </row>
    <row r="102" spans="1:8" ht="15" thickTop="1">
      <c r="A102" s="27"/>
      <c r="B102" s="27"/>
      <c r="C102" s="27"/>
      <c r="D102" s="27"/>
      <c r="E102" s="27"/>
      <c r="F102" s="27"/>
      <c r="G102" s="27"/>
    </row>
    <row r="103" spans="1:8" ht="15.75">
      <c r="A103" s="27" t="s">
        <v>90</v>
      </c>
      <c r="B103" s="27"/>
      <c r="C103" s="27"/>
      <c r="D103" s="27"/>
      <c r="E103" s="27"/>
      <c r="F103" s="27"/>
      <c r="G103" s="27"/>
    </row>
    <row r="104" spans="1:8">
      <c r="A104" s="27" t="s">
        <v>91</v>
      </c>
      <c r="B104" s="27"/>
      <c r="C104" s="27"/>
      <c r="D104" s="27"/>
      <c r="E104" s="27"/>
      <c r="F104" s="27"/>
      <c r="G104" s="27"/>
    </row>
    <row r="105" spans="1:8">
      <c r="A105" s="27" t="s">
        <v>92</v>
      </c>
      <c r="B105" s="27"/>
      <c r="C105" s="27"/>
      <c r="D105" s="27"/>
      <c r="E105" s="27"/>
      <c r="F105" s="27"/>
      <c r="G105" s="27"/>
    </row>
    <row r="106" spans="1:8" ht="15.75">
      <c r="A106" s="41" t="s">
        <v>93</v>
      </c>
      <c r="B106" s="42"/>
      <c r="C106" s="42"/>
      <c r="D106" s="42"/>
      <c r="E106" s="42"/>
      <c r="F106" s="144">
        <f>VLOOKUP($B$50,[1]LEGGE!$A$30:$B$34,2,0)</f>
        <v>2.5822844954474324</v>
      </c>
      <c r="G106" s="145"/>
    </row>
    <row r="107" spans="1:8" ht="15.75">
      <c r="A107" s="54" t="s">
        <v>94</v>
      </c>
      <c r="B107" s="55"/>
      <c r="C107" s="55"/>
      <c r="D107" s="55"/>
      <c r="E107" s="55"/>
      <c r="F107" s="146">
        <f>F106+F106*$F$8</f>
        <v>2.5822844954474324</v>
      </c>
      <c r="G107" s="145"/>
    </row>
    <row r="108" spans="1:8">
      <c r="A108" s="27"/>
      <c r="B108" s="27"/>
      <c r="C108" s="27"/>
      <c r="D108" s="27"/>
      <c r="E108" s="27"/>
      <c r="F108" s="27"/>
      <c r="G108" s="27"/>
    </row>
    <row r="109" spans="1:8" ht="60.75" customHeight="1">
      <c r="A109" s="290" t="s">
        <v>95</v>
      </c>
      <c r="B109" s="290"/>
      <c r="C109" s="290"/>
      <c r="D109" s="290"/>
      <c r="E109" s="290"/>
      <c r="F109" s="290"/>
      <c r="G109" s="290"/>
    </row>
    <row r="110" spans="1:8" ht="15" thickBot="1">
      <c r="A110" s="25"/>
      <c r="B110" s="25"/>
      <c r="C110" s="27"/>
      <c r="D110" s="27"/>
      <c r="E110" s="27"/>
      <c r="F110" s="27"/>
      <c r="G110" s="27"/>
    </row>
    <row r="111" spans="1:8" s="150" customFormat="1" ht="15" thickBot="1">
      <c r="A111" s="147"/>
      <c r="B111" s="148"/>
      <c r="C111" s="119" t="s">
        <v>96</v>
      </c>
      <c r="D111" s="119" t="s">
        <v>97</v>
      </c>
      <c r="E111" s="119" t="s">
        <v>98</v>
      </c>
      <c r="F111" s="119" t="s">
        <v>99</v>
      </c>
      <c r="G111" s="120" t="s">
        <v>62</v>
      </c>
      <c r="H111" s="149"/>
    </row>
    <row r="112" spans="1:8">
      <c r="A112" s="175" t="s">
        <v>100</v>
      </c>
      <c r="B112" s="176"/>
      <c r="C112" s="177">
        <f>F57</f>
        <v>13.427879376326649</v>
      </c>
      <c r="D112" s="177">
        <f t="shared" ref="D112:D119" si="10">C112*2</f>
        <v>26.855758752653298</v>
      </c>
      <c r="E112" s="177">
        <f t="shared" ref="E112:E119" si="11">C112*3</f>
        <v>40.283638128979945</v>
      </c>
      <c r="F112" s="177">
        <f t="shared" ref="F112:F119" si="12">C112*4</f>
        <v>53.711517505306595</v>
      </c>
      <c r="G112" s="123"/>
      <c r="H112" s="124"/>
    </row>
    <row r="113" spans="1:8" ht="25.5">
      <c r="A113" s="78" t="s">
        <v>64</v>
      </c>
      <c r="B113" s="79"/>
      <c r="C113" s="81">
        <f>F58</f>
        <v>17.456243189224644</v>
      </c>
      <c r="D113" s="122">
        <f t="shared" si="10"/>
        <v>34.912486378449287</v>
      </c>
      <c r="E113" s="122">
        <f t="shared" si="11"/>
        <v>52.368729567673931</v>
      </c>
      <c r="F113" s="122">
        <f t="shared" si="12"/>
        <v>69.824972756898575</v>
      </c>
      <c r="G113" s="82"/>
      <c r="H113" s="83"/>
    </row>
    <row r="114" spans="1:8" ht="25.5">
      <c r="A114" s="84" t="s">
        <v>65</v>
      </c>
      <c r="B114" s="85"/>
      <c r="C114" s="86">
        <f>F59</f>
        <v>26.184364783836966</v>
      </c>
      <c r="D114" s="122">
        <f t="shared" si="10"/>
        <v>52.368729567673931</v>
      </c>
      <c r="E114" s="122">
        <f t="shared" si="11"/>
        <v>78.553094351510893</v>
      </c>
      <c r="F114" s="122">
        <f t="shared" si="12"/>
        <v>104.73745913534786</v>
      </c>
      <c r="G114" s="87">
        <v>0.5</v>
      </c>
      <c r="H114" s="88"/>
    </row>
    <row r="115" spans="1:8" ht="26.25" thickBot="1">
      <c r="A115" s="125" t="s">
        <v>66</v>
      </c>
      <c r="B115" s="126"/>
      <c r="C115" s="127">
        <f>F60</f>
        <v>34.912486378449287</v>
      </c>
      <c r="D115" s="151">
        <f t="shared" si="10"/>
        <v>69.824972756898575</v>
      </c>
      <c r="E115" s="151">
        <f t="shared" si="11"/>
        <v>104.73745913534786</v>
      </c>
      <c r="F115" s="151">
        <f t="shared" si="12"/>
        <v>139.64994551379715</v>
      </c>
      <c r="G115" s="128">
        <v>1</v>
      </c>
      <c r="H115" s="129"/>
    </row>
    <row r="116" spans="1:8" ht="15" thickBot="1">
      <c r="A116" s="175" t="s">
        <v>86</v>
      </c>
      <c r="B116" s="176"/>
      <c r="C116" s="177">
        <f>F66</f>
        <v>13.427879376326649</v>
      </c>
      <c r="D116" s="177">
        <f t="shared" si="10"/>
        <v>26.855758752653298</v>
      </c>
      <c r="E116" s="177">
        <f t="shared" si="11"/>
        <v>40.283638128979945</v>
      </c>
      <c r="F116" s="177">
        <f t="shared" si="12"/>
        <v>53.711517505306595</v>
      </c>
      <c r="G116" s="131"/>
      <c r="H116" s="132"/>
    </row>
    <row r="117" spans="1:8" ht="26.25" thickBot="1">
      <c r="A117" s="133" t="s">
        <v>87</v>
      </c>
      <c r="B117" s="134"/>
      <c r="C117" s="135">
        <f>F67</f>
        <v>17.456243189224644</v>
      </c>
      <c r="D117" s="130">
        <f t="shared" si="10"/>
        <v>34.912486378449287</v>
      </c>
      <c r="E117" s="130">
        <f t="shared" si="11"/>
        <v>52.368729567673931</v>
      </c>
      <c r="F117" s="130">
        <f t="shared" si="12"/>
        <v>69.824972756898575</v>
      </c>
      <c r="G117" s="137"/>
      <c r="H117" s="138"/>
    </row>
    <row r="118" spans="1:8" ht="26.25" thickBot="1">
      <c r="A118" s="133" t="s">
        <v>88</v>
      </c>
      <c r="B118" s="134"/>
      <c r="C118" s="135">
        <f>F68</f>
        <v>26.184364783836966</v>
      </c>
      <c r="D118" s="130">
        <f t="shared" si="10"/>
        <v>52.368729567673931</v>
      </c>
      <c r="E118" s="130">
        <f t="shared" si="11"/>
        <v>78.553094351510893</v>
      </c>
      <c r="F118" s="130">
        <f t="shared" si="12"/>
        <v>104.73745913534786</v>
      </c>
      <c r="G118" s="137">
        <v>0.5</v>
      </c>
      <c r="H118" s="138"/>
    </row>
    <row r="119" spans="1:8" ht="26.25" thickBot="1">
      <c r="A119" s="139" t="s">
        <v>89</v>
      </c>
      <c r="B119" s="140"/>
      <c r="C119" s="141">
        <f>F69</f>
        <v>34.912486378449287</v>
      </c>
      <c r="D119" s="130">
        <f t="shared" si="10"/>
        <v>69.824972756898575</v>
      </c>
      <c r="E119" s="130">
        <f t="shared" si="11"/>
        <v>104.73745913534786</v>
      </c>
      <c r="F119" s="130">
        <f t="shared" si="12"/>
        <v>139.64994551379715</v>
      </c>
      <c r="G119" s="142">
        <v>1</v>
      </c>
      <c r="H119" s="143"/>
    </row>
    <row r="120" spans="1:8" ht="15" thickTop="1">
      <c r="A120" s="27"/>
      <c r="B120" s="27"/>
      <c r="C120" s="27"/>
      <c r="D120" s="27"/>
      <c r="E120" s="27"/>
      <c r="F120" s="27"/>
      <c r="G120" s="27"/>
    </row>
    <row r="121" spans="1:8">
      <c r="A121" s="27" t="s">
        <v>101</v>
      </c>
      <c r="B121" s="27"/>
      <c r="C121" s="27"/>
      <c r="D121" s="27"/>
      <c r="E121" s="27"/>
      <c r="F121" s="27"/>
      <c r="G121" s="27"/>
    </row>
    <row r="122" spans="1:8" ht="45.75" customHeight="1">
      <c r="A122" s="284" t="s">
        <v>102</v>
      </c>
      <c r="B122" s="284"/>
      <c r="C122" s="284"/>
      <c r="D122" s="284"/>
      <c r="E122" s="284"/>
      <c r="F122" s="284"/>
      <c r="G122" s="284"/>
    </row>
    <row r="123" spans="1:8" ht="15.75">
      <c r="A123" s="152" t="s">
        <v>103</v>
      </c>
      <c r="B123" s="24"/>
      <c r="C123" s="27"/>
      <c r="D123" s="24"/>
      <c r="E123" s="27"/>
      <c r="F123" s="153">
        <f>VLOOKUP($B$50,[1]LEGGE!$A$37:$F$41,3,0)</f>
        <v>61.974827890738382</v>
      </c>
      <c r="G123" s="27"/>
    </row>
    <row r="124" spans="1:8">
      <c r="A124" s="27"/>
      <c r="B124" s="27"/>
      <c r="C124" s="27"/>
      <c r="D124" s="27"/>
      <c r="E124" s="27"/>
      <c r="F124" s="27"/>
      <c r="G124" s="27"/>
    </row>
    <row r="125" spans="1:8" ht="13.5" customHeight="1">
      <c r="A125" s="284" t="s">
        <v>104</v>
      </c>
      <c r="B125" s="284"/>
      <c r="C125" s="284"/>
      <c r="D125" s="284"/>
      <c r="E125" s="284"/>
      <c r="F125" s="284"/>
      <c r="G125" s="284"/>
    </row>
    <row r="126" spans="1:8" ht="15.75">
      <c r="A126" s="152" t="s">
        <v>103</v>
      </c>
      <c r="B126" s="24"/>
      <c r="C126" s="27"/>
      <c r="D126" s="27"/>
      <c r="E126" s="27"/>
      <c r="F126" s="153">
        <f>VLOOKUP($B$50,[1]LEGGE!$A$37:$F$41,4,0)</f>
        <v>30.987413945369191</v>
      </c>
      <c r="G126" s="27"/>
    </row>
    <row r="127" spans="1:8" ht="63" customHeight="1">
      <c r="A127" s="284" t="s">
        <v>105</v>
      </c>
      <c r="B127" s="284"/>
      <c r="C127" s="284"/>
      <c r="D127" s="284"/>
      <c r="E127" s="284"/>
      <c r="F127" s="284"/>
      <c r="G127" s="284"/>
    </row>
    <row r="128" spans="1:8" ht="15.75">
      <c r="A128" s="154" t="s">
        <v>106</v>
      </c>
      <c r="B128" s="24"/>
      <c r="C128" s="27"/>
      <c r="D128" s="27"/>
      <c r="E128" s="24"/>
      <c r="F128" s="153">
        <f>VLOOKUP($B$50,[1]LEGGE!$A$37:$F$41,5,0)</f>
        <v>2.5822844954474324</v>
      </c>
      <c r="G128" s="27"/>
    </row>
    <row r="129" spans="1:7">
      <c r="A129" s="26" t="s">
        <v>107</v>
      </c>
      <c r="B129" s="26"/>
      <c r="C129" s="26"/>
      <c r="D129" s="26"/>
      <c r="E129" s="26"/>
      <c r="F129" s="155">
        <f>F128+F128*$F$8</f>
        <v>2.5822844954474324</v>
      </c>
      <c r="G129" s="27"/>
    </row>
    <row r="130" spans="1:7">
      <c r="A130" s="26"/>
      <c r="B130" s="26"/>
      <c r="C130" s="26"/>
      <c r="D130" s="26"/>
      <c r="E130" s="26"/>
      <c r="F130" s="155"/>
      <c r="G130" s="27"/>
    </row>
    <row r="131" spans="1:7" ht="19.5" customHeight="1">
      <c r="A131" s="284" t="s">
        <v>108</v>
      </c>
      <c r="B131" s="284"/>
      <c r="C131" s="284"/>
      <c r="D131" s="284"/>
      <c r="E131" s="284"/>
      <c r="F131" s="284"/>
      <c r="G131" s="284"/>
    </row>
    <row r="132" spans="1:7" ht="15.75">
      <c r="A132" s="154" t="s">
        <v>109</v>
      </c>
      <c r="B132" s="27"/>
      <c r="C132" s="27"/>
      <c r="D132" s="27"/>
      <c r="E132" s="27"/>
      <c r="F132" s="153">
        <f>VLOOKUP($B$50,[1]LEGGE!$A$37:$F$41,6,0)</f>
        <v>7.7468534863422978</v>
      </c>
      <c r="G132" s="27"/>
    </row>
    <row r="133" spans="1:7">
      <c r="A133" s="26" t="s">
        <v>110</v>
      </c>
      <c r="B133" s="27"/>
      <c r="C133" s="27"/>
      <c r="D133" s="27"/>
      <c r="E133" s="27"/>
      <c r="F133" s="155">
        <f>F132+F132*$F$8</f>
        <v>7.7468534863422978</v>
      </c>
      <c r="G133" s="27"/>
    </row>
  </sheetData>
  <mergeCells count="18">
    <mergeCell ref="A131:G131"/>
    <mergeCell ref="A44:G44"/>
    <mergeCell ref="A45:G45"/>
    <mergeCell ref="A47:G47"/>
    <mergeCell ref="A48:G48"/>
    <mergeCell ref="A65:H65"/>
    <mergeCell ref="A80:G80"/>
    <mergeCell ref="A86:D86"/>
    <mergeCell ref="A109:G109"/>
    <mergeCell ref="A122:G122"/>
    <mergeCell ref="A125:G125"/>
    <mergeCell ref="A127:G127"/>
    <mergeCell ref="A39:G40"/>
    <mergeCell ref="A1:G1"/>
    <mergeCell ref="A2:G2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M119"/>
  <sheetViews>
    <sheetView topLeftCell="A63" zoomScale="90" zoomScaleNormal="90" workbookViewId="0">
      <selection activeCell="H20" sqref="H20"/>
    </sheetView>
  </sheetViews>
  <sheetFormatPr defaultColWidth="7.25" defaultRowHeight="12.75"/>
  <cols>
    <col min="1" max="1" width="61" style="2" customWidth="1"/>
    <col min="2" max="2" width="9" style="2" customWidth="1"/>
    <col min="3" max="3" width="2.125" style="2" hidden="1" customWidth="1"/>
    <col min="4" max="4" width="12.875" style="199" customWidth="1"/>
    <col min="5" max="5" width="10.625" style="199" customWidth="1"/>
    <col min="6" max="6" width="10.625" style="200" customWidth="1"/>
    <col min="7" max="16384" width="7.25" style="2"/>
  </cols>
  <sheetData>
    <row r="1" spans="1:247" ht="21.75" customHeight="1">
      <c r="A1" s="157" t="s">
        <v>111</v>
      </c>
      <c r="B1" s="1"/>
      <c r="C1" s="166"/>
      <c r="D1" s="189"/>
      <c r="E1" s="189"/>
      <c r="F1" s="190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</row>
    <row r="2" spans="1:247">
      <c r="A2" s="156" t="s">
        <v>112</v>
      </c>
      <c r="B2" s="158" t="s">
        <v>113</v>
      </c>
      <c r="C2" s="166"/>
      <c r="D2" s="191" t="s">
        <v>114</v>
      </c>
      <c r="E2" s="191"/>
      <c r="F2" s="192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</row>
    <row r="3" spans="1:247">
      <c r="A3" s="20" t="s">
        <v>115</v>
      </c>
      <c r="B3" s="159">
        <v>0.3</v>
      </c>
      <c r="C3" s="166"/>
      <c r="D3" s="191" t="s">
        <v>116</v>
      </c>
      <c r="E3" s="191"/>
      <c r="F3" s="192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</row>
    <row r="4" spans="1:247">
      <c r="A4" s="20" t="s">
        <v>117</v>
      </c>
      <c r="B4" s="159">
        <v>0</v>
      </c>
      <c r="C4" s="166"/>
      <c r="D4" s="191" t="s">
        <v>118</v>
      </c>
      <c r="E4" s="191"/>
      <c r="F4" s="192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</row>
    <row r="5" spans="1:247">
      <c r="A5" s="160"/>
      <c r="B5" s="17"/>
      <c r="C5" s="166"/>
      <c r="D5" s="193"/>
      <c r="E5" s="193"/>
      <c r="F5" s="19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</row>
    <row r="6" spans="1:247">
      <c r="A6" s="184" t="s">
        <v>119</v>
      </c>
      <c r="B6" s="17"/>
      <c r="C6" s="166"/>
      <c r="D6" s="194"/>
      <c r="E6" s="194"/>
      <c r="F6" s="193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</row>
    <row r="7" spans="1:247">
      <c r="A7" s="185" t="s">
        <v>120</v>
      </c>
      <c r="B7" s="20"/>
      <c r="C7" s="166"/>
      <c r="D7" s="195">
        <v>40</v>
      </c>
      <c r="E7" s="191"/>
      <c r="F7" s="19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</row>
    <row r="8" spans="1:247" customFormat="1" ht="15.75" customHeight="1">
      <c r="A8" s="184" t="s">
        <v>121</v>
      </c>
      <c r="B8" s="18"/>
      <c r="C8" s="166"/>
      <c r="D8" s="193"/>
      <c r="E8" s="193"/>
      <c r="F8" s="193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</row>
    <row r="9" spans="1:247" customFormat="1" ht="14.25">
      <c r="A9" s="185" t="s">
        <v>120</v>
      </c>
      <c r="B9" s="20"/>
      <c r="C9" s="166"/>
      <c r="D9" s="195">
        <v>0.7</v>
      </c>
      <c r="E9" s="191"/>
      <c r="F9" s="19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</row>
    <row r="10" spans="1:247" customFormat="1" ht="14.25">
      <c r="A10" s="294" t="s">
        <v>122</v>
      </c>
      <c r="B10" s="20"/>
      <c r="C10" s="21"/>
      <c r="D10" s="191"/>
      <c r="E10" s="198"/>
      <c r="F10" s="197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</row>
    <row r="11" spans="1:247" customFormat="1" ht="14.25">
      <c r="A11" s="295"/>
      <c r="B11" s="20"/>
      <c r="C11" s="21"/>
      <c r="D11" s="191"/>
      <c r="E11" s="199"/>
      <c r="F11" s="199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</row>
    <row r="12" spans="1:247" customFormat="1" ht="14.25">
      <c r="A12" s="19"/>
      <c r="B12" s="19"/>
      <c r="C12" s="19"/>
      <c r="D12" s="193"/>
      <c r="E12" s="193"/>
      <c r="F12" s="190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</row>
    <row r="13" spans="1:247" customFormat="1" ht="29.1" customHeight="1">
      <c r="A13" s="161" t="s">
        <v>123</v>
      </c>
      <c r="B13" s="162" t="s">
        <v>124</v>
      </c>
      <c r="C13" s="163" t="s">
        <v>125</v>
      </c>
      <c r="D13" s="201" t="s">
        <v>126</v>
      </c>
      <c r="E13" s="202" t="s">
        <v>127</v>
      </c>
      <c r="F13" s="203" t="s">
        <v>128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</row>
    <row r="14" spans="1:247" customFormat="1" ht="15">
      <c r="A14" s="298" t="s">
        <v>129</v>
      </c>
      <c r="B14" s="298"/>
      <c r="C14" s="298"/>
      <c r="D14" s="298"/>
      <c r="E14" s="298"/>
      <c r="F14" s="298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</row>
    <row r="15" spans="1:247" s="165" customFormat="1" ht="14.25">
      <c r="A15" s="205" t="s">
        <v>130</v>
      </c>
      <c r="B15" s="205"/>
      <c r="C15" s="207">
        <v>24.58</v>
      </c>
      <c r="D15" s="208">
        <f>TARIFFE2020!F57</f>
        <v>13.427879376326649</v>
      </c>
      <c r="E15" s="209">
        <f>$D$7*F15</f>
        <v>13.600000000000001</v>
      </c>
      <c r="F15" s="210">
        <f>CEILING(D15/$D$7,0.01)</f>
        <v>0.34</v>
      </c>
      <c r="G15" s="211"/>
      <c r="H15" s="211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</row>
    <row r="16" spans="1:247" customFormat="1" ht="14.25">
      <c r="A16" s="205" t="s">
        <v>131</v>
      </c>
      <c r="B16" s="205"/>
      <c r="C16" s="207">
        <v>24.58</v>
      </c>
      <c r="D16" s="208">
        <f>TARIFFE2020!F58</f>
        <v>17.456243189224644</v>
      </c>
      <c r="E16" s="209">
        <f>$D$7*F16</f>
        <v>17.600000000000001</v>
      </c>
      <c r="F16" s="210">
        <f>CEILING(D16/$D$7,0.01)</f>
        <v>0.44</v>
      </c>
      <c r="G16" s="211"/>
      <c r="H16" s="211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</row>
    <row r="17" spans="1:247" customFormat="1" ht="14.25">
      <c r="A17" s="205" t="s">
        <v>132</v>
      </c>
      <c r="B17" s="205"/>
      <c r="C17" s="207">
        <v>36.880000000000003</v>
      </c>
      <c r="D17" s="208">
        <f>TARIFFE2020!F59</f>
        <v>26.184364783836966</v>
      </c>
      <c r="E17" s="209">
        <f>$D$7*F17</f>
        <v>26.400000000000002</v>
      </c>
      <c r="F17" s="210">
        <f>CEILING(D17/$D$7,0.01)</f>
        <v>0.66</v>
      </c>
      <c r="G17" s="211"/>
      <c r="H17" s="211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</row>
    <row r="18" spans="1:247" customFormat="1" ht="14.25">
      <c r="A18" s="212" t="s">
        <v>133</v>
      </c>
      <c r="B18" s="212"/>
      <c r="C18" s="213">
        <v>49.17</v>
      </c>
      <c r="D18" s="214">
        <f>TARIFFE2020!F60</f>
        <v>34.912486378449287</v>
      </c>
      <c r="E18" s="215">
        <f>$D$7*F18</f>
        <v>35.200000000000003</v>
      </c>
      <c r="F18" s="216">
        <f>CEILING(D18/$D$7,0.01)</f>
        <v>0.88</v>
      </c>
      <c r="G18" s="211"/>
      <c r="H18" s="211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</row>
    <row r="19" spans="1:247" customFormat="1" ht="15">
      <c r="A19" s="298" t="s">
        <v>134</v>
      </c>
      <c r="B19" s="298"/>
      <c r="C19" s="298"/>
      <c r="D19" s="298"/>
      <c r="E19" s="298"/>
      <c r="F19" s="298"/>
      <c r="G19" s="211"/>
      <c r="H19" s="211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</row>
    <row r="20" spans="1:247" s="165" customFormat="1" ht="14.25">
      <c r="A20" s="205" t="s">
        <v>130</v>
      </c>
      <c r="B20" s="205"/>
      <c r="C20" s="207">
        <v>49.17</v>
      </c>
      <c r="D20" s="208">
        <f>TARIFFE2020!F61</f>
        <v>26.855758752653298</v>
      </c>
      <c r="E20" s="209">
        <f>$D$7*F20</f>
        <v>27.200000000000003</v>
      </c>
      <c r="F20" s="210">
        <f>CEILING(D20/$D$7,0.01)</f>
        <v>0.68</v>
      </c>
      <c r="G20" s="211"/>
      <c r="H20" s="211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6"/>
      <c r="GK20" s="166"/>
      <c r="GL20" s="166"/>
      <c r="GM20" s="166"/>
      <c r="GN20" s="166"/>
      <c r="GO20" s="166"/>
      <c r="GP20" s="166"/>
      <c r="GQ20" s="166"/>
      <c r="GR20" s="166"/>
      <c r="GS20" s="166"/>
      <c r="GT20" s="166"/>
      <c r="GU20" s="166"/>
      <c r="GV20" s="166"/>
      <c r="GW20" s="166"/>
      <c r="GX20" s="166"/>
      <c r="GY20" s="166"/>
      <c r="GZ20" s="166"/>
      <c r="HA20" s="166"/>
      <c r="HB20" s="166"/>
      <c r="HC20" s="166"/>
      <c r="HD20" s="166"/>
      <c r="HE20" s="166"/>
      <c r="HF20" s="166"/>
      <c r="HG20" s="166"/>
      <c r="HH20" s="166"/>
      <c r="HI20" s="166"/>
      <c r="HJ20" s="166"/>
      <c r="HK20" s="166"/>
      <c r="HL20" s="166"/>
      <c r="HM20" s="166"/>
      <c r="HN20" s="166"/>
      <c r="HO20" s="166"/>
      <c r="HP20" s="166"/>
      <c r="HQ20" s="166"/>
      <c r="HR20" s="166"/>
      <c r="HS20" s="166"/>
      <c r="HT20" s="166"/>
      <c r="HU20" s="166"/>
      <c r="HV20" s="166"/>
      <c r="HW20" s="166"/>
      <c r="HX20" s="166"/>
      <c r="HY20" s="166"/>
      <c r="HZ20" s="166"/>
      <c r="IA20" s="166"/>
      <c r="IB20" s="166"/>
      <c r="IC20" s="166"/>
      <c r="ID20" s="166"/>
      <c r="IE20" s="166"/>
      <c r="IF20" s="166"/>
      <c r="IG20" s="166"/>
      <c r="IH20" s="166"/>
      <c r="II20" s="166"/>
      <c r="IJ20" s="166"/>
      <c r="IK20" s="166"/>
      <c r="IL20" s="166"/>
      <c r="IM20" s="166"/>
    </row>
    <row r="21" spans="1:247" customFormat="1" ht="14.25">
      <c r="A21" s="205" t="s">
        <v>135</v>
      </c>
      <c r="B21" s="205"/>
      <c r="C21" s="207">
        <v>49.17</v>
      </c>
      <c r="D21" s="208">
        <f>TARIFFE2020!F62</f>
        <v>34.912486378449287</v>
      </c>
      <c r="E21" s="209">
        <f>$D$7*F21</f>
        <v>35.200000000000003</v>
      </c>
      <c r="F21" s="210">
        <f>CEILING(D21/$D$7,0.01)</f>
        <v>0.88</v>
      </c>
      <c r="G21" s="211"/>
      <c r="H21" s="211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66"/>
      <c r="FG21" s="166"/>
      <c r="FH21" s="166"/>
      <c r="FI21" s="166"/>
      <c r="FJ21" s="166"/>
      <c r="FK21" s="166"/>
      <c r="FL21" s="166"/>
      <c r="FM21" s="166"/>
      <c r="FN21" s="166"/>
      <c r="FO21" s="166"/>
      <c r="FP21" s="166"/>
      <c r="FQ21" s="166"/>
      <c r="FR21" s="166"/>
      <c r="FS21" s="166"/>
      <c r="FT21" s="166"/>
      <c r="FU21" s="166"/>
      <c r="FV21" s="166"/>
      <c r="FW21" s="166"/>
      <c r="FX21" s="166"/>
      <c r="FY21" s="166"/>
      <c r="FZ21" s="166"/>
      <c r="GA21" s="166"/>
      <c r="GB21" s="166"/>
      <c r="GC21" s="166"/>
      <c r="GD21" s="166"/>
      <c r="GE21" s="166"/>
      <c r="GF21" s="166"/>
      <c r="GG21" s="166"/>
      <c r="GH21" s="166"/>
      <c r="GI21" s="166"/>
      <c r="GJ21" s="166"/>
      <c r="GK21" s="166"/>
      <c r="GL21" s="166"/>
      <c r="GM21" s="166"/>
      <c r="GN21" s="166"/>
      <c r="GO21" s="166"/>
      <c r="GP21" s="166"/>
      <c r="GQ21" s="166"/>
      <c r="GR21" s="166"/>
      <c r="GS21" s="166"/>
      <c r="GT21" s="166"/>
      <c r="GU21" s="166"/>
      <c r="GV21" s="166"/>
      <c r="GW21" s="166"/>
      <c r="GX21" s="166"/>
      <c r="GY21" s="166"/>
      <c r="GZ21" s="166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6"/>
      <c r="HM21" s="166"/>
      <c r="HN21" s="166"/>
      <c r="HO21" s="166"/>
      <c r="HP21" s="166"/>
      <c r="HQ21" s="166"/>
      <c r="HR21" s="166"/>
      <c r="HS21" s="166"/>
      <c r="HT21" s="166"/>
      <c r="HU21" s="166"/>
      <c r="HV21" s="166"/>
      <c r="HW21" s="166"/>
      <c r="HX21" s="166"/>
      <c r="HY21" s="166"/>
      <c r="HZ21" s="166"/>
      <c r="IA21" s="166"/>
      <c r="IB21" s="166"/>
      <c r="IC21" s="166"/>
      <c r="ID21" s="166"/>
      <c r="IE21" s="166"/>
      <c r="IF21" s="166"/>
      <c r="IG21" s="166"/>
      <c r="IH21" s="166"/>
      <c r="II21" s="166"/>
      <c r="IJ21" s="166"/>
      <c r="IK21" s="166"/>
      <c r="IL21" s="166"/>
      <c r="IM21" s="166"/>
    </row>
    <row r="22" spans="1:247" customFormat="1" ht="14.25">
      <c r="A22" s="212" t="s">
        <v>132</v>
      </c>
      <c r="B22" s="212"/>
      <c r="C22" s="213">
        <v>61.46</v>
      </c>
      <c r="D22" s="214">
        <f>TARIFFE2020!F63</f>
        <v>43.640607973061606</v>
      </c>
      <c r="E22" s="215">
        <f>$D$7*F22</f>
        <v>44</v>
      </c>
      <c r="F22" s="216">
        <f>CEILING(D22/$D$7,0.01)</f>
        <v>1.1000000000000001</v>
      </c>
      <c r="G22" s="211"/>
      <c r="H22" s="211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</row>
    <row r="23" spans="1:247" customFormat="1" ht="14.25">
      <c r="A23" s="217" t="s">
        <v>133</v>
      </c>
      <c r="B23" s="217"/>
      <c r="C23" s="218">
        <v>73.75</v>
      </c>
      <c r="D23" s="219">
        <f>TARIFFE2020!F64</f>
        <v>52.368729567673931</v>
      </c>
      <c r="E23" s="209">
        <f>$D$7*F23</f>
        <v>52.400000000000006</v>
      </c>
      <c r="F23" s="210">
        <f>CEILING(D23/$D$7,0.01)</f>
        <v>1.31</v>
      </c>
      <c r="G23" s="211"/>
      <c r="H23" s="211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</row>
    <row r="24" spans="1:247" customFormat="1" ht="15">
      <c r="A24" s="299" t="s">
        <v>136</v>
      </c>
      <c r="B24" s="300"/>
      <c r="C24" s="300"/>
      <c r="D24" s="300"/>
      <c r="E24" s="300"/>
      <c r="F24" s="300"/>
      <c r="G24" s="211"/>
      <c r="H24" s="211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</row>
    <row r="25" spans="1:247" customFormat="1" ht="14.25">
      <c r="A25" s="205" t="s">
        <v>137</v>
      </c>
      <c r="B25" s="220">
        <v>1</v>
      </c>
      <c r="C25" s="206">
        <v>4.34</v>
      </c>
      <c r="D25" s="221">
        <f>TARIFFE2020!F128</f>
        <v>2.5822844954474324</v>
      </c>
      <c r="E25" s="209">
        <f>$D$9*F25</f>
        <v>2.5829999999999997</v>
      </c>
      <c r="F25" s="210">
        <f t="shared" ref="F25:F30" si="0">CEILING((D25/$D$9)/B25,0.01)</f>
        <v>3.69</v>
      </c>
      <c r="G25" s="211"/>
      <c r="H25" s="211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  <c r="EU25" s="166"/>
      <c r="EV25" s="166"/>
      <c r="EW25" s="166"/>
      <c r="EX25" s="166"/>
      <c r="EY25" s="166"/>
      <c r="EZ25" s="166"/>
      <c r="FA25" s="166"/>
      <c r="FB25" s="166"/>
      <c r="FC25" s="166"/>
      <c r="FD25" s="166"/>
      <c r="FE25" s="166"/>
      <c r="FF25" s="166"/>
      <c r="FG25" s="166"/>
      <c r="FH25" s="166"/>
      <c r="FI25" s="166"/>
      <c r="FJ25" s="166"/>
      <c r="FK25" s="166"/>
      <c r="FL25" s="166"/>
      <c r="FM25" s="166"/>
      <c r="FN25" s="166"/>
      <c r="FO25" s="166"/>
      <c r="FP25" s="166"/>
      <c r="FQ25" s="166"/>
      <c r="FR25" s="166"/>
      <c r="FS25" s="166"/>
      <c r="FT25" s="166"/>
      <c r="FU25" s="166"/>
      <c r="FV25" s="166"/>
      <c r="FW25" s="166"/>
      <c r="FX25" s="166"/>
      <c r="FY25" s="166"/>
      <c r="FZ25" s="166"/>
      <c r="GA25" s="166"/>
      <c r="GB25" s="166"/>
      <c r="GC25" s="166"/>
      <c r="GD25" s="166"/>
      <c r="GE25" s="166"/>
      <c r="GF25" s="166"/>
      <c r="GG25" s="166"/>
      <c r="GH25" s="166"/>
      <c r="GI25" s="166"/>
      <c r="GJ25" s="166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6"/>
      <c r="HM25" s="166"/>
      <c r="HN25" s="166"/>
      <c r="HO25" s="166"/>
      <c r="HP25" s="166"/>
      <c r="HQ25" s="166"/>
      <c r="HR25" s="166"/>
      <c r="HS25" s="166"/>
      <c r="HT25" s="166"/>
      <c r="HU25" s="166"/>
      <c r="HV25" s="166"/>
      <c r="HW25" s="166"/>
      <c r="HX25" s="166"/>
      <c r="HY25" s="166"/>
      <c r="HZ25" s="166"/>
      <c r="IA25" s="166"/>
      <c r="IB25" s="166"/>
      <c r="IC25" s="166"/>
      <c r="ID25" s="166"/>
      <c r="IE25" s="166"/>
      <c r="IF25" s="166"/>
      <c r="IG25" s="166"/>
      <c r="IH25" s="166"/>
      <c r="II25" s="166"/>
      <c r="IJ25" s="166"/>
      <c r="IK25" s="166"/>
      <c r="IL25" s="166"/>
      <c r="IM25" s="166"/>
    </row>
    <row r="26" spans="1:247" customFormat="1" ht="14.25">
      <c r="A26" s="205" t="s">
        <v>138</v>
      </c>
      <c r="B26" s="220">
        <v>1</v>
      </c>
      <c r="C26" s="206">
        <v>13.01</v>
      </c>
      <c r="D26" s="221">
        <f>TARIFFE2020!F132</f>
        <v>7.7468534863422978</v>
      </c>
      <c r="E26" s="209">
        <f>$D$9*F26</f>
        <v>7.7489999999999997</v>
      </c>
      <c r="F26" s="210">
        <f t="shared" si="0"/>
        <v>11.07</v>
      </c>
      <c r="G26" s="211"/>
      <c r="H26" s="211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</row>
    <row r="27" spans="1:247" s="165" customFormat="1" ht="14.25">
      <c r="A27" s="222" t="s">
        <v>139</v>
      </c>
      <c r="B27" s="220">
        <v>15</v>
      </c>
      <c r="C27" s="207"/>
      <c r="D27" s="221">
        <f>TARIFFE2020!C112</f>
        <v>13.427879376326649</v>
      </c>
      <c r="E27" s="209">
        <f>$D$9*F27*B27</f>
        <v>13.439999999999998</v>
      </c>
      <c r="F27" s="210">
        <f t="shared" si="0"/>
        <v>1.28</v>
      </c>
      <c r="G27" s="211"/>
      <c r="H27" s="211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6"/>
      <c r="FF27" s="166"/>
      <c r="FG27" s="166"/>
      <c r="FH27" s="166"/>
      <c r="FI27" s="166"/>
      <c r="FJ27" s="166"/>
      <c r="FK27" s="166"/>
      <c r="FL27" s="166"/>
      <c r="FM27" s="166"/>
      <c r="FN27" s="166"/>
      <c r="FO27" s="166"/>
      <c r="FP27" s="166"/>
      <c r="FQ27" s="166"/>
      <c r="FR27" s="166"/>
      <c r="FS27" s="166"/>
      <c r="FT27" s="166"/>
      <c r="FU27" s="166"/>
      <c r="FV27" s="166"/>
      <c r="FW27" s="166"/>
      <c r="FX27" s="166"/>
      <c r="FY27" s="166"/>
      <c r="FZ27" s="166"/>
      <c r="GA27" s="166"/>
      <c r="GB27" s="166"/>
      <c r="GC27" s="166"/>
      <c r="GD27" s="166"/>
      <c r="GE27" s="166"/>
      <c r="GF27" s="166"/>
      <c r="GG27" s="166"/>
      <c r="GH27" s="166"/>
      <c r="GI27" s="166"/>
      <c r="GJ27" s="166"/>
      <c r="GK27" s="166"/>
      <c r="GL27" s="166"/>
      <c r="GM27" s="166"/>
      <c r="GN27" s="166"/>
      <c r="GO27" s="166"/>
      <c r="GP27" s="166"/>
      <c r="GQ27" s="166"/>
      <c r="GR27" s="166"/>
      <c r="GS27" s="166"/>
      <c r="GT27" s="166"/>
      <c r="GU27" s="166"/>
      <c r="GV27" s="166"/>
      <c r="GW27" s="166"/>
      <c r="GX27" s="166"/>
      <c r="GY27" s="166"/>
      <c r="GZ27" s="166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6"/>
      <c r="HM27" s="166"/>
      <c r="HN27" s="166"/>
      <c r="HO27" s="166"/>
      <c r="HP27" s="166"/>
      <c r="HQ27" s="166"/>
      <c r="HR27" s="166"/>
      <c r="HS27" s="166"/>
      <c r="HT27" s="166"/>
      <c r="HU27" s="166"/>
      <c r="HV27" s="166"/>
      <c r="HW27" s="166"/>
      <c r="HX27" s="166"/>
      <c r="HY27" s="166"/>
      <c r="HZ27" s="166"/>
      <c r="IA27" s="166"/>
      <c r="IB27" s="166"/>
      <c r="IC27" s="166"/>
      <c r="ID27" s="166"/>
      <c r="IE27" s="166"/>
      <c r="IF27" s="166"/>
      <c r="IG27" s="166"/>
      <c r="IH27" s="166"/>
      <c r="II27" s="166"/>
      <c r="IJ27" s="166"/>
      <c r="IK27" s="166"/>
      <c r="IL27" s="166"/>
      <c r="IM27" s="166"/>
    </row>
    <row r="28" spans="1:247" customFormat="1" ht="14.25">
      <c r="A28" s="205" t="s">
        <v>140</v>
      </c>
      <c r="B28" s="220">
        <v>15</v>
      </c>
      <c r="C28" s="207"/>
      <c r="D28" s="221">
        <f>TARIFFE2020!C113</f>
        <v>17.456243189224644</v>
      </c>
      <c r="E28" s="209">
        <f>$D$9*F28*B28</f>
        <v>17.534999999999997</v>
      </c>
      <c r="F28" s="210">
        <f t="shared" si="0"/>
        <v>1.67</v>
      </c>
      <c r="G28" s="211"/>
      <c r="H28" s="211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  <c r="EU28" s="166"/>
      <c r="EV28" s="166"/>
      <c r="EW28" s="166"/>
      <c r="EX28" s="166"/>
      <c r="EY28" s="166"/>
      <c r="EZ28" s="166"/>
      <c r="FA28" s="166"/>
      <c r="FB28" s="166"/>
      <c r="FC28" s="166"/>
      <c r="FD28" s="166"/>
      <c r="FE28" s="166"/>
      <c r="FF28" s="166"/>
      <c r="FG28" s="166"/>
      <c r="FH28" s="166"/>
      <c r="FI28" s="166"/>
      <c r="FJ28" s="166"/>
      <c r="FK28" s="166"/>
      <c r="FL28" s="166"/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  <c r="FY28" s="166"/>
      <c r="FZ28" s="166"/>
      <c r="GA28" s="166"/>
      <c r="GB28" s="166"/>
      <c r="GC28" s="166"/>
      <c r="GD28" s="166"/>
      <c r="GE28" s="166"/>
      <c r="GF28" s="166"/>
      <c r="GG28" s="166"/>
      <c r="GH28" s="166"/>
      <c r="GI28" s="166"/>
      <c r="GJ28" s="166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 s="166"/>
      <c r="HR28" s="166"/>
      <c r="HS28" s="166"/>
      <c r="HT28" s="166"/>
      <c r="HU28" s="166"/>
      <c r="HV28" s="166"/>
      <c r="HW28" s="166"/>
      <c r="HX28" s="166"/>
      <c r="HY28" s="166"/>
      <c r="HZ28" s="166"/>
      <c r="IA28" s="166"/>
      <c r="IB28" s="166"/>
      <c r="IC28" s="166"/>
      <c r="ID28" s="166"/>
      <c r="IE28" s="166"/>
      <c r="IF28" s="166"/>
      <c r="IG28" s="166"/>
      <c r="IH28" s="166"/>
      <c r="II28" s="166"/>
      <c r="IJ28" s="166"/>
      <c r="IK28" s="166"/>
      <c r="IL28" s="166"/>
      <c r="IM28" s="166"/>
    </row>
    <row r="29" spans="1:247" customFormat="1" ht="14.25">
      <c r="A29" s="205" t="s">
        <v>141</v>
      </c>
      <c r="B29" s="220">
        <v>15</v>
      </c>
      <c r="C29" s="207"/>
      <c r="D29" s="221">
        <f>TARIFFE2020!C114</f>
        <v>26.184364783836966</v>
      </c>
      <c r="E29" s="209">
        <f>$D$9*F29*B29</f>
        <v>26.25</v>
      </c>
      <c r="F29" s="210">
        <f t="shared" si="0"/>
        <v>2.5</v>
      </c>
      <c r="G29" s="211"/>
      <c r="H29" s="211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</row>
    <row r="30" spans="1:247" customFormat="1" ht="14.25">
      <c r="A30" s="205" t="s">
        <v>142</v>
      </c>
      <c r="B30" s="220">
        <v>15</v>
      </c>
      <c r="C30" s="207"/>
      <c r="D30" s="221">
        <f>TARIFFE2020!C115</f>
        <v>34.912486378449287</v>
      </c>
      <c r="E30" s="209">
        <f>$D$9*F30*B30</f>
        <v>34.964999999999996</v>
      </c>
      <c r="F30" s="210">
        <f t="shared" si="0"/>
        <v>3.33</v>
      </c>
      <c r="G30" s="211"/>
      <c r="H30" s="211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6"/>
      <c r="FB30" s="166"/>
      <c r="FC30" s="166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</row>
    <row r="31" spans="1:247" customFormat="1" ht="25.5">
      <c r="A31" s="205" t="s">
        <v>143</v>
      </c>
      <c r="B31" s="205"/>
      <c r="C31" s="206">
        <v>21.07</v>
      </c>
      <c r="D31" s="223">
        <v>16.53</v>
      </c>
      <c r="E31" s="209">
        <f t="shared" ref="E31:E40" si="1">$D$7*F31</f>
        <v>16.8</v>
      </c>
      <c r="F31" s="210">
        <f t="shared" ref="F31:F40" si="2">CEILING(D31/$D$7,0.01)</f>
        <v>0.42</v>
      </c>
      <c r="G31" s="211"/>
      <c r="H31" s="211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6"/>
      <c r="GD31" s="166"/>
      <c r="GE31" s="166"/>
      <c r="GF31" s="166"/>
      <c r="GG31" s="166"/>
      <c r="GH31" s="166"/>
      <c r="GI31" s="166"/>
      <c r="GJ31" s="166"/>
      <c r="GK31" s="166"/>
      <c r="GL31" s="166"/>
      <c r="GM31" s="166"/>
      <c r="GN31" s="166"/>
      <c r="GO31" s="166"/>
      <c r="GP31" s="166"/>
      <c r="GQ31" s="166"/>
      <c r="GR31" s="166"/>
      <c r="GS31" s="166"/>
      <c r="GT31" s="166"/>
      <c r="GU31" s="166"/>
      <c r="GV31" s="166"/>
      <c r="GW31" s="166"/>
      <c r="GX31" s="166"/>
      <c r="GY31" s="166"/>
      <c r="GZ31" s="166"/>
      <c r="HA31" s="166"/>
      <c r="HB31" s="166"/>
      <c r="HC31" s="166"/>
      <c r="HD31" s="166"/>
      <c r="HE31" s="166"/>
      <c r="HF31" s="166"/>
      <c r="HG31" s="166"/>
      <c r="HH31" s="166"/>
      <c r="HI31" s="166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6"/>
      <c r="II31" s="166"/>
      <c r="IJ31" s="166"/>
      <c r="IK31" s="166"/>
      <c r="IL31" s="166"/>
      <c r="IM31" s="166"/>
    </row>
    <row r="32" spans="1:247" s="165" customFormat="1" ht="25.5">
      <c r="A32" s="205" t="s">
        <v>144</v>
      </c>
      <c r="B32" s="205"/>
      <c r="C32" s="206"/>
      <c r="D32" s="223">
        <v>16.53</v>
      </c>
      <c r="E32" s="209">
        <f>$D$7*F32</f>
        <v>16.8</v>
      </c>
      <c r="F32" s="210">
        <f>CEILING(D32/$D$7,0.01)</f>
        <v>0.42</v>
      </c>
      <c r="G32" s="211"/>
      <c r="H32" s="211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166"/>
      <c r="GP32" s="166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  <c r="IL32" s="166"/>
      <c r="IM32" s="166"/>
    </row>
    <row r="33" spans="1:247" s="165" customFormat="1" ht="13.5" customHeight="1">
      <c r="A33" s="205" t="s">
        <v>145</v>
      </c>
      <c r="B33" s="205"/>
      <c r="C33" s="207"/>
      <c r="D33" s="208">
        <f>TARIFFE2020!F94</f>
        <v>41.316551927158919</v>
      </c>
      <c r="E33" s="209">
        <f>$D$7*F33</f>
        <v>41.6</v>
      </c>
      <c r="F33" s="210">
        <f>CEILING(D33/$D$7,0.01)</f>
        <v>1.04</v>
      </c>
      <c r="G33" s="211"/>
      <c r="H33" s="211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</row>
    <row r="34" spans="1:247" customFormat="1" ht="14.25">
      <c r="A34" s="205" t="s">
        <v>146</v>
      </c>
      <c r="B34" s="205"/>
      <c r="C34" s="206"/>
      <c r="D34" s="208">
        <f>TARIFFE2020!F95</f>
        <v>53.711517505306595</v>
      </c>
      <c r="E34" s="209">
        <f t="shared" si="1"/>
        <v>54</v>
      </c>
      <c r="F34" s="210">
        <f t="shared" si="2"/>
        <v>1.35</v>
      </c>
      <c r="G34" s="211"/>
      <c r="H34" s="211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  <c r="EU34" s="166"/>
      <c r="EV34" s="166"/>
      <c r="EW34" s="166"/>
      <c r="EX34" s="166"/>
      <c r="EY34" s="166"/>
      <c r="EZ34" s="166"/>
      <c r="FA34" s="166"/>
      <c r="FB34" s="166"/>
      <c r="FC34" s="166"/>
      <c r="FD34" s="166"/>
      <c r="FE34" s="166"/>
      <c r="FF34" s="166"/>
      <c r="FG34" s="166"/>
      <c r="FH34" s="166"/>
      <c r="FI34" s="166"/>
      <c r="FJ34" s="166"/>
      <c r="FK34" s="166"/>
      <c r="FL34" s="166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66"/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166"/>
      <c r="GP34" s="166"/>
      <c r="GQ34" s="166"/>
      <c r="GR34" s="166"/>
      <c r="GS34" s="166"/>
      <c r="GT34" s="166"/>
      <c r="GU34" s="166"/>
      <c r="GV34" s="166"/>
      <c r="GW34" s="166"/>
      <c r="GX34" s="166"/>
      <c r="GY34" s="166"/>
      <c r="GZ34" s="166"/>
      <c r="HA34" s="166"/>
      <c r="HB34" s="166"/>
      <c r="HC34" s="166"/>
      <c r="HD34" s="166"/>
      <c r="HE34" s="166"/>
      <c r="HF34" s="166"/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166"/>
      <c r="HU34" s="166"/>
      <c r="HV34" s="166"/>
      <c r="HW34" s="166"/>
      <c r="HX34" s="166"/>
      <c r="HY34" s="166"/>
      <c r="HZ34" s="166"/>
      <c r="IA34" s="166"/>
      <c r="IB34" s="166"/>
      <c r="IC34" s="166"/>
      <c r="ID34" s="166"/>
      <c r="IE34" s="166"/>
      <c r="IF34" s="166"/>
      <c r="IG34" s="166"/>
      <c r="IH34" s="166"/>
      <c r="II34" s="166"/>
      <c r="IJ34" s="166"/>
      <c r="IK34" s="166"/>
      <c r="IL34" s="166"/>
      <c r="IM34" s="166"/>
    </row>
    <row r="35" spans="1:247" customFormat="1" ht="14.25">
      <c r="A35" s="205" t="s">
        <v>147</v>
      </c>
      <c r="B35" s="205"/>
      <c r="C35" s="206"/>
      <c r="D35" s="208">
        <f>TARIFFE2020!F96</f>
        <v>80.56727625795989</v>
      </c>
      <c r="E35" s="209">
        <f t="shared" si="1"/>
        <v>80.8</v>
      </c>
      <c r="F35" s="210">
        <f t="shared" si="2"/>
        <v>2.02</v>
      </c>
      <c r="G35" s="211"/>
      <c r="H35" s="211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6"/>
      <c r="FB35" s="166"/>
      <c r="FC35" s="166"/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166"/>
      <c r="GP35" s="166"/>
      <c r="GQ35" s="166"/>
      <c r="GR35" s="166"/>
      <c r="GS35" s="166"/>
      <c r="GT35" s="166"/>
      <c r="GU35" s="166"/>
      <c r="GV35" s="166"/>
      <c r="GW35" s="166"/>
      <c r="GX35" s="166"/>
      <c r="GY35" s="166"/>
      <c r="GZ35" s="166"/>
      <c r="HA35" s="166"/>
      <c r="HB35" s="166"/>
      <c r="HC35" s="166"/>
      <c r="HD35" s="166"/>
      <c r="HE35" s="166"/>
      <c r="HF35" s="166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166"/>
      <c r="HU35" s="166"/>
      <c r="HV35" s="166"/>
      <c r="HW35" s="166"/>
      <c r="HX35" s="166"/>
      <c r="HY35" s="166"/>
      <c r="HZ35" s="166"/>
      <c r="IA35" s="166"/>
      <c r="IB35" s="166"/>
      <c r="IC35" s="166"/>
      <c r="ID35" s="166"/>
      <c r="IE35" s="166"/>
      <c r="IF35" s="166"/>
      <c r="IG35" s="166"/>
      <c r="IH35" s="166"/>
      <c r="II35" s="166"/>
      <c r="IJ35" s="166"/>
      <c r="IK35" s="166"/>
      <c r="IL35" s="166"/>
      <c r="IM35" s="166"/>
    </row>
    <row r="36" spans="1:247" customFormat="1" ht="14.25">
      <c r="A36" s="205" t="s">
        <v>148</v>
      </c>
      <c r="B36" s="205"/>
      <c r="C36" s="206"/>
      <c r="D36" s="208">
        <f>TARIFFE2020!F97</f>
        <v>107.42303501061319</v>
      </c>
      <c r="E36" s="209">
        <f t="shared" si="1"/>
        <v>107.6</v>
      </c>
      <c r="F36" s="210">
        <f t="shared" si="2"/>
        <v>2.69</v>
      </c>
      <c r="G36" s="211"/>
      <c r="H36" s="211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</row>
    <row r="37" spans="1:247" s="165" customFormat="1" ht="14.25">
      <c r="A37" s="205" t="s">
        <v>149</v>
      </c>
      <c r="B37" s="205"/>
      <c r="C37" s="206"/>
      <c r="D37" s="208">
        <f>D33/2</f>
        <v>20.658275963579459</v>
      </c>
      <c r="E37" s="209">
        <f>$D$7*F37</f>
        <v>20.8</v>
      </c>
      <c r="F37" s="210">
        <f>CEILING(D37/$D$7,0.01)</f>
        <v>0.52</v>
      </c>
      <c r="G37" s="211"/>
      <c r="H37" s="211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</row>
    <row r="38" spans="1:247" customFormat="1" ht="14.25">
      <c r="A38" s="205" t="s">
        <v>150</v>
      </c>
      <c r="B38" s="205"/>
      <c r="C38" s="206"/>
      <c r="D38" s="208">
        <f>D34/2</f>
        <v>26.855758752653298</v>
      </c>
      <c r="E38" s="209">
        <f t="shared" si="1"/>
        <v>27.200000000000003</v>
      </c>
      <c r="F38" s="210">
        <f t="shared" si="2"/>
        <v>0.68</v>
      </c>
      <c r="G38" s="211"/>
      <c r="H38" s="211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EX38" s="166"/>
      <c r="EY38" s="166"/>
      <c r="EZ38" s="166"/>
      <c r="FA38" s="166"/>
      <c r="FB38" s="166"/>
      <c r="FC38" s="166"/>
      <c r="FD38" s="166"/>
      <c r="FE38" s="166"/>
      <c r="FF38" s="166"/>
      <c r="FG38" s="166"/>
      <c r="FH38" s="166"/>
      <c r="FI38" s="166"/>
      <c r="FJ38" s="166"/>
      <c r="FK38" s="166"/>
      <c r="FL38" s="166"/>
      <c r="FM38" s="166"/>
      <c r="FN38" s="166"/>
      <c r="FO38" s="166"/>
      <c r="FP38" s="166"/>
      <c r="FQ38" s="166"/>
      <c r="FR38" s="166"/>
      <c r="FS38" s="166"/>
      <c r="FT38" s="166"/>
      <c r="FU38" s="166"/>
      <c r="FV38" s="166"/>
      <c r="FW38" s="166"/>
      <c r="FX38" s="166"/>
      <c r="FY38" s="166"/>
      <c r="FZ38" s="166"/>
      <c r="GA38" s="166"/>
      <c r="GB38" s="166"/>
      <c r="GC38" s="166"/>
      <c r="GD38" s="166"/>
      <c r="GE38" s="166"/>
      <c r="GF38" s="166"/>
      <c r="GG38" s="166"/>
      <c r="GH38" s="166"/>
      <c r="GI38" s="166"/>
      <c r="GJ38" s="166"/>
      <c r="GK38" s="166"/>
      <c r="GL38" s="166"/>
      <c r="GM38" s="166"/>
      <c r="GN38" s="166"/>
      <c r="GO38" s="166"/>
      <c r="GP38" s="166"/>
      <c r="GQ38" s="166"/>
      <c r="GR38" s="166"/>
      <c r="GS38" s="166"/>
      <c r="GT38" s="166"/>
      <c r="GU38" s="166"/>
      <c r="GV38" s="166"/>
      <c r="GW38" s="166"/>
      <c r="GX38" s="166"/>
      <c r="GY38" s="166"/>
      <c r="GZ38" s="166"/>
      <c r="HA38" s="166"/>
      <c r="HB38" s="166"/>
      <c r="HC38" s="166"/>
      <c r="HD38" s="166"/>
      <c r="HE38" s="166"/>
      <c r="HF38" s="166"/>
      <c r="HG38" s="166"/>
      <c r="HH38" s="166"/>
      <c r="HI38" s="166"/>
      <c r="HJ38" s="166"/>
      <c r="HK38" s="166"/>
      <c r="HL38" s="166"/>
      <c r="HM38" s="166"/>
      <c r="HN38" s="166"/>
      <c r="HO38" s="166"/>
      <c r="HP38" s="166"/>
      <c r="HQ38" s="166"/>
      <c r="HR38" s="166"/>
      <c r="HS38" s="166"/>
      <c r="HT38" s="166"/>
      <c r="HU38" s="166"/>
      <c r="HV38" s="166"/>
      <c r="HW38" s="166"/>
      <c r="HX38" s="166"/>
      <c r="HY38" s="166"/>
      <c r="HZ38" s="166"/>
      <c r="IA38" s="166"/>
      <c r="IB38" s="166"/>
      <c r="IC38" s="166"/>
      <c r="ID38" s="166"/>
      <c r="IE38" s="166"/>
      <c r="IF38" s="166"/>
      <c r="IG38" s="166"/>
      <c r="IH38" s="166"/>
      <c r="II38" s="166"/>
      <c r="IJ38" s="166"/>
      <c r="IK38" s="166"/>
      <c r="IL38" s="166"/>
      <c r="IM38" s="166"/>
    </row>
    <row r="39" spans="1:247" customFormat="1" ht="14.25">
      <c r="A39" s="205" t="s">
        <v>151</v>
      </c>
      <c r="B39" s="205"/>
      <c r="C39" s="206"/>
      <c r="D39" s="208">
        <f>D35/2</f>
        <v>40.283638128979945</v>
      </c>
      <c r="E39" s="209">
        <f t="shared" si="1"/>
        <v>40.4</v>
      </c>
      <c r="F39" s="210">
        <f t="shared" si="2"/>
        <v>1.01</v>
      </c>
      <c r="G39" s="211"/>
      <c r="H39" s="211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  <c r="IL39" s="166"/>
      <c r="IM39" s="166"/>
    </row>
    <row r="40" spans="1:247" customFormat="1" ht="14.25">
      <c r="A40" s="205" t="s">
        <v>152</v>
      </c>
      <c r="B40" s="205"/>
      <c r="C40" s="206"/>
      <c r="D40" s="208">
        <f>D36/2</f>
        <v>53.711517505306595</v>
      </c>
      <c r="E40" s="209">
        <f t="shared" si="1"/>
        <v>54</v>
      </c>
      <c r="F40" s="210">
        <f t="shared" si="2"/>
        <v>1.35</v>
      </c>
      <c r="G40" s="211"/>
      <c r="H40" s="211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</row>
    <row r="41" spans="1:247" customFormat="1" ht="14.25">
      <c r="A41" s="205" t="s">
        <v>153</v>
      </c>
      <c r="B41" s="220">
        <v>1</v>
      </c>
      <c r="C41" s="206">
        <v>4.34</v>
      </c>
      <c r="D41" s="208">
        <f>TARIFFE2020!F106</f>
        <v>2.5822844954474324</v>
      </c>
      <c r="E41" s="209">
        <f>F41*$D$9</f>
        <v>2.5829999999999997</v>
      </c>
      <c r="F41" s="210">
        <f>CEILING((D41/$D$9)/B41,0.01)</f>
        <v>3.69</v>
      </c>
      <c r="G41" s="211"/>
      <c r="H41" s="211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6"/>
      <c r="FB41" s="166"/>
      <c r="FC41" s="166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</row>
    <row r="42" spans="1:247" customFormat="1" ht="14.25">
      <c r="A42" s="205" t="s">
        <v>154</v>
      </c>
      <c r="B42" s="220">
        <v>1</v>
      </c>
      <c r="C42" s="206">
        <v>104.12</v>
      </c>
      <c r="D42" s="208">
        <f>TARIFFE2020!F123</f>
        <v>61.974827890738382</v>
      </c>
      <c r="E42" s="209">
        <f>$D$9*F42</f>
        <v>61.978000000000002</v>
      </c>
      <c r="F42" s="210">
        <f>CEILING((D42/$D$9)/B42,0.01)</f>
        <v>88.54</v>
      </c>
      <c r="G42" s="211"/>
      <c r="H42" s="211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EX42" s="166"/>
      <c r="EY42" s="166"/>
      <c r="EZ42" s="166"/>
      <c r="FA42" s="166"/>
      <c r="FB42" s="166"/>
      <c r="FC42" s="166"/>
      <c r="FD42" s="166"/>
      <c r="FE42" s="166"/>
      <c r="FF42" s="166"/>
      <c r="FG42" s="166"/>
      <c r="FH42" s="166"/>
      <c r="FI42" s="166"/>
      <c r="FJ42" s="166"/>
      <c r="FK42" s="166"/>
      <c r="FL42" s="166"/>
      <c r="FM42" s="166"/>
      <c r="FN42" s="166"/>
      <c r="FO42" s="166"/>
      <c r="FP42" s="166"/>
      <c r="FQ42" s="166"/>
      <c r="FR42" s="166"/>
      <c r="FS42" s="166"/>
      <c r="FT42" s="166"/>
      <c r="FU42" s="166"/>
      <c r="FV42" s="166"/>
      <c r="FW42" s="166"/>
      <c r="FX42" s="166"/>
      <c r="FY42" s="166"/>
      <c r="FZ42" s="166"/>
      <c r="GA42" s="166"/>
      <c r="GB42" s="166"/>
      <c r="GC42" s="166"/>
      <c r="GD42" s="166"/>
      <c r="GE42" s="166"/>
      <c r="GF42" s="166"/>
      <c r="GG42" s="166"/>
      <c r="GH42" s="166"/>
      <c r="GI42" s="166"/>
      <c r="GJ42" s="166"/>
      <c r="GK42" s="166"/>
      <c r="GL42" s="166"/>
      <c r="GM42" s="166"/>
      <c r="GN42" s="166"/>
      <c r="GO42" s="166"/>
      <c r="GP42" s="166"/>
      <c r="GQ42" s="166"/>
      <c r="GR42" s="166"/>
      <c r="GS42" s="166"/>
      <c r="GT42" s="166"/>
      <c r="GU42" s="166"/>
      <c r="GV42" s="166"/>
      <c r="GW42" s="166"/>
      <c r="GX42" s="166"/>
      <c r="GY42" s="166"/>
      <c r="GZ42" s="166"/>
      <c r="HA42" s="166"/>
      <c r="HB42" s="166"/>
      <c r="HC42" s="166"/>
      <c r="HD42" s="166"/>
      <c r="HE42" s="166"/>
      <c r="HF42" s="166"/>
      <c r="HG42" s="166"/>
      <c r="HH42" s="166"/>
      <c r="HI42" s="166"/>
      <c r="HJ42" s="166"/>
      <c r="HK42" s="166"/>
      <c r="HL42" s="166"/>
      <c r="HM42" s="166"/>
      <c r="HN42" s="166"/>
      <c r="HO42" s="166"/>
      <c r="HP42" s="166"/>
      <c r="HQ42" s="166"/>
      <c r="HR42" s="166"/>
      <c r="HS42" s="166"/>
      <c r="HT42" s="166"/>
      <c r="HU42" s="166"/>
      <c r="HV42" s="166"/>
      <c r="HW42" s="166"/>
      <c r="HX42" s="166"/>
      <c r="HY42" s="166"/>
      <c r="HZ42" s="166"/>
      <c r="IA42" s="166"/>
      <c r="IB42" s="166"/>
      <c r="IC42" s="166"/>
      <c r="ID42" s="166"/>
      <c r="IE42" s="166"/>
      <c r="IF42" s="166"/>
      <c r="IG42" s="166"/>
      <c r="IH42" s="166"/>
      <c r="II42" s="166"/>
      <c r="IJ42" s="166"/>
      <c r="IK42" s="166"/>
      <c r="IL42" s="166"/>
      <c r="IM42" s="166"/>
    </row>
    <row r="43" spans="1:247" customFormat="1" ht="14.25">
      <c r="A43" s="205" t="s">
        <v>155</v>
      </c>
      <c r="B43" s="220">
        <v>1</v>
      </c>
      <c r="C43" s="206">
        <v>52.06</v>
      </c>
      <c r="D43" s="208">
        <f>TARIFFE2020!F126</f>
        <v>30.987413945369191</v>
      </c>
      <c r="E43" s="209">
        <f>D9*F43</f>
        <v>30.989000000000001</v>
      </c>
      <c r="F43" s="210">
        <f>CEILING((D43/$D$9)/B43,0.01)</f>
        <v>44.27</v>
      </c>
      <c r="G43" s="211"/>
      <c r="H43" s="211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</row>
    <row r="44" spans="1:247" customFormat="1" ht="15" hidden="1">
      <c r="A44" s="297" t="s">
        <v>156</v>
      </c>
      <c r="B44" s="297"/>
      <c r="C44" s="297"/>
      <c r="D44" s="297"/>
      <c r="E44" s="224"/>
      <c r="F44" s="210" t="e">
        <f>CEILING((D44/#REF!)/B44,0.01)</f>
        <v>#REF!</v>
      </c>
      <c r="G44" s="211"/>
      <c r="H44" s="211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6"/>
      <c r="FL44" s="166"/>
      <c r="FM44" s="166"/>
      <c r="FN44" s="166"/>
      <c r="FO44" s="166"/>
      <c r="FP44" s="166"/>
      <c r="FQ44" s="166"/>
      <c r="FR44" s="166"/>
      <c r="FS44" s="166"/>
      <c r="FT44" s="166"/>
      <c r="FU44" s="166"/>
      <c r="FV44" s="166"/>
      <c r="FW44" s="166"/>
      <c r="FX44" s="166"/>
      <c r="FY44" s="166"/>
      <c r="FZ44" s="166"/>
      <c r="GA44" s="166"/>
      <c r="GB44" s="166"/>
      <c r="GC44" s="166"/>
      <c r="GD44" s="166"/>
      <c r="GE44" s="166"/>
      <c r="GF44" s="166"/>
      <c r="GG44" s="166"/>
      <c r="GH44" s="166"/>
      <c r="GI44" s="166"/>
      <c r="GJ44" s="166"/>
      <c r="GK44" s="166"/>
      <c r="GL44" s="166"/>
      <c r="GM44" s="166"/>
      <c r="GN44" s="166"/>
      <c r="GO44" s="166"/>
      <c r="GP44" s="166"/>
      <c r="GQ44" s="166"/>
      <c r="GR44" s="166"/>
      <c r="GS44" s="166"/>
      <c r="GT44" s="166"/>
      <c r="GU44" s="166"/>
      <c r="GV44" s="166"/>
      <c r="GW44" s="166"/>
      <c r="GX44" s="166"/>
      <c r="GY44" s="166"/>
      <c r="GZ44" s="166"/>
      <c r="HA44" s="166"/>
      <c r="HB44" s="166"/>
      <c r="HC44" s="166"/>
      <c r="HD44" s="166"/>
      <c r="HE44" s="166"/>
      <c r="HF44" s="166"/>
      <c r="HG44" s="166"/>
      <c r="HH44" s="166"/>
      <c r="HI44" s="166"/>
      <c r="HJ44" s="166"/>
      <c r="HK44" s="166"/>
      <c r="HL44" s="166"/>
      <c r="HM44" s="166"/>
      <c r="HN44" s="166"/>
      <c r="HO44" s="166"/>
      <c r="HP44" s="166"/>
      <c r="HQ44" s="166"/>
      <c r="HR44" s="166"/>
      <c r="HS44" s="166"/>
      <c r="HT44" s="166"/>
      <c r="HU44" s="166"/>
      <c r="HV44" s="166"/>
      <c r="HW44" s="166"/>
      <c r="HX44" s="166"/>
      <c r="HY44" s="166"/>
      <c r="HZ44" s="166"/>
      <c r="IA44" s="166"/>
      <c r="IB44" s="166"/>
      <c r="IC44" s="166"/>
      <c r="ID44" s="166"/>
      <c r="IE44" s="166"/>
      <c r="IF44" s="166"/>
      <c r="IG44" s="166"/>
      <c r="IH44" s="166"/>
      <c r="II44" s="166"/>
      <c r="IJ44" s="166"/>
      <c r="IK44" s="166"/>
      <c r="IL44" s="166"/>
      <c r="IM44" s="166"/>
    </row>
    <row r="45" spans="1:247" customFormat="1" ht="15" hidden="1">
      <c r="A45" s="225" t="s">
        <v>157</v>
      </c>
      <c r="B45" s="225"/>
      <c r="C45" s="226">
        <v>1.61</v>
      </c>
      <c r="D45" s="227">
        <v>1.34</v>
      </c>
      <c r="E45" s="224"/>
      <c r="F45" s="210" t="e">
        <f>CEILING((D45/#REF!)/B45,0.01)</f>
        <v>#REF!</v>
      </c>
      <c r="G45" s="211"/>
      <c r="H45" s="211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6"/>
      <c r="FB45" s="166"/>
      <c r="FC45" s="166"/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6"/>
      <c r="FO45" s="166"/>
      <c r="FP45" s="166"/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6"/>
      <c r="GB45" s="166"/>
      <c r="GC45" s="166"/>
      <c r="GD45" s="166"/>
      <c r="GE45" s="166"/>
      <c r="GF45" s="166"/>
      <c r="GG45" s="166"/>
      <c r="GH45" s="166"/>
      <c r="GI45" s="166"/>
      <c r="GJ45" s="166"/>
      <c r="GK45" s="166"/>
      <c r="GL45" s="166"/>
      <c r="GM45" s="166"/>
      <c r="GN45" s="166"/>
      <c r="GO45" s="166"/>
      <c r="GP45" s="166"/>
      <c r="GQ45" s="166"/>
      <c r="GR45" s="166"/>
      <c r="GS45" s="166"/>
      <c r="GT45" s="166"/>
      <c r="GU45" s="166"/>
      <c r="GV45" s="166"/>
      <c r="GW45" s="166"/>
      <c r="GX45" s="166"/>
      <c r="GY45" s="166"/>
      <c r="GZ45" s="166"/>
      <c r="HA45" s="166"/>
      <c r="HB45" s="166"/>
      <c r="HC45" s="166"/>
      <c r="HD45" s="166"/>
      <c r="HE45" s="166"/>
      <c r="HF45" s="166"/>
      <c r="HG45" s="166"/>
      <c r="HH45" s="166"/>
      <c r="HI45" s="166"/>
      <c r="HJ45" s="166"/>
      <c r="HK45" s="166"/>
      <c r="HL45" s="166"/>
      <c r="HM45" s="166"/>
      <c r="HN45" s="166"/>
      <c r="HO45" s="166"/>
      <c r="HP45" s="166"/>
      <c r="HQ45" s="166"/>
      <c r="HR45" s="166"/>
      <c r="HS45" s="166"/>
      <c r="HT45" s="166"/>
      <c r="HU45" s="166"/>
      <c r="HV45" s="166"/>
      <c r="HW45" s="166"/>
      <c r="HX45" s="166"/>
      <c r="HY45" s="166"/>
      <c r="HZ45" s="166"/>
      <c r="IA45" s="166"/>
      <c r="IB45" s="166"/>
      <c r="IC45" s="166"/>
      <c r="ID45" s="166"/>
      <c r="IE45" s="166"/>
      <c r="IF45" s="166"/>
      <c r="IG45" s="166"/>
      <c r="IH45" s="166"/>
      <c r="II45" s="166"/>
      <c r="IJ45" s="166"/>
      <c r="IK45" s="166"/>
      <c r="IL45" s="166"/>
      <c r="IM45" s="166"/>
    </row>
    <row r="46" spans="1:247" customFormat="1" ht="15" hidden="1">
      <c r="A46" s="225" t="s">
        <v>158</v>
      </c>
      <c r="B46" s="225"/>
      <c r="C46" s="226">
        <v>4.03</v>
      </c>
      <c r="D46" s="227">
        <v>3.36</v>
      </c>
      <c r="E46" s="224"/>
      <c r="F46" s="210" t="e">
        <f>CEILING((D46/#REF!)/B46,0.01)</f>
        <v>#REF!</v>
      </c>
      <c r="G46" s="211"/>
      <c r="H46" s="211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  <c r="IL46" s="166"/>
      <c r="IM46" s="166"/>
    </row>
    <row r="47" spans="1:247" customFormat="1" ht="15" hidden="1">
      <c r="A47" s="225" t="s">
        <v>159</v>
      </c>
      <c r="B47" s="225"/>
      <c r="C47" s="226">
        <v>0.48</v>
      </c>
      <c r="D47" s="227">
        <v>0.41</v>
      </c>
      <c r="E47" s="224"/>
      <c r="F47" s="210" t="e">
        <f>CEILING((D47/#REF!)/B47,0.01)</f>
        <v>#REF!</v>
      </c>
      <c r="G47" s="211"/>
      <c r="H47" s="211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  <c r="EU47" s="166"/>
      <c r="EV47" s="166"/>
      <c r="EW47" s="166"/>
      <c r="EX47" s="166"/>
      <c r="EY47" s="166"/>
      <c r="EZ47" s="166"/>
      <c r="FA47" s="166"/>
      <c r="FB47" s="166"/>
      <c r="FC47" s="166"/>
      <c r="FD47" s="166"/>
      <c r="FE47" s="166"/>
      <c r="FF47" s="166"/>
      <c r="FG47" s="166"/>
      <c r="FH47" s="166"/>
      <c r="FI47" s="166"/>
      <c r="FJ47" s="166"/>
      <c r="FK47" s="166"/>
      <c r="FL47" s="166"/>
      <c r="FM47" s="166"/>
      <c r="FN47" s="166"/>
      <c r="FO47" s="166"/>
      <c r="FP47" s="166"/>
      <c r="FQ47" s="166"/>
      <c r="FR47" s="166"/>
      <c r="FS47" s="166"/>
      <c r="FT47" s="166"/>
      <c r="FU47" s="166"/>
      <c r="FV47" s="166"/>
      <c r="FW47" s="166"/>
      <c r="FX47" s="166"/>
      <c r="FY47" s="166"/>
      <c r="FZ47" s="166"/>
      <c r="GA47" s="166"/>
      <c r="GB47" s="166"/>
      <c r="GC47" s="166"/>
      <c r="GD47" s="166"/>
      <c r="GE47" s="166"/>
      <c r="GF47" s="166"/>
      <c r="GG47" s="166"/>
      <c r="GH47" s="166"/>
      <c r="GI47" s="166"/>
      <c r="GJ47" s="166"/>
      <c r="GK47" s="166"/>
      <c r="GL47" s="166"/>
      <c r="GM47" s="166"/>
      <c r="GN47" s="166"/>
      <c r="GO47" s="166"/>
      <c r="GP47" s="166"/>
      <c r="GQ47" s="166"/>
      <c r="GR47" s="166"/>
      <c r="GS47" s="166"/>
      <c r="GT47" s="166"/>
      <c r="GU47" s="166"/>
      <c r="GV47" s="166"/>
      <c r="GW47" s="166"/>
      <c r="GX47" s="166"/>
      <c r="GY47" s="166"/>
      <c r="GZ47" s="166"/>
      <c r="HA47" s="166"/>
      <c r="HB47" s="166"/>
      <c r="HC47" s="166"/>
      <c r="HD47" s="166"/>
      <c r="HE47" s="166"/>
      <c r="HF47" s="166"/>
      <c r="HG47" s="166"/>
      <c r="HH47" s="166"/>
      <c r="HI47" s="166"/>
      <c r="HJ47" s="166"/>
      <c r="HK47" s="166"/>
      <c r="HL47" s="166"/>
      <c r="HM47" s="166"/>
      <c r="HN47" s="166"/>
      <c r="HO47" s="166"/>
      <c r="HP47" s="166"/>
      <c r="HQ47" s="166"/>
      <c r="HR47" s="166"/>
      <c r="HS47" s="166"/>
      <c r="HT47" s="166"/>
      <c r="HU47" s="166"/>
      <c r="HV47" s="166"/>
      <c r="HW47" s="166"/>
      <c r="HX47" s="166"/>
      <c r="HY47" s="166"/>
      <c r="HZ47" s="166"/>
      <c r="IA47" s="166"/>
      <c r="IB47" s="166"/>
      <c r="IC47" s="166"/>
      <c r="ID47" s="166"/>
      <c r="IE47" s="166"/>
      <c r="IF47" s="166"/>
      <c r="IG47" s="166"/>
      <c r="IH47" s="166"/>
      <c r="II47" s="166"/>
      <c r="IJ47" s="166"/>
      <c r="IK47" s="166"/>
      <c r="IL47" s="166"/>
      <c r="IM47" s="166"/>
    </row>
    <row r="48" spans="1:247" customFormat="1" ht="15" hidden="1">
      <c r="A48" s="225" t="s">
        <v>160</v>
      </c>
      <c r="B48" s="225"/>
      <c r="C48" s="226">
        <v>1.21</v>
      </c>
      <c r="D48" s="228">
        <v>1</v>
      </c>
      <c r="E48" s="224"/>
      <c r="F48" s="210" t="e">
        <f>CEILING((D48/#REF!)/B48,0.01)</f>
        <v>#REF!</v>
      </c>
      <c r="G48" s="211"/>
      <c r="H48" s="211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  <c r="II48" s="166"/>
      <c r="IJ48" s="166"/>
      <c r="IK48" s="166"/>
      <c r="IL48" s="166"/>
      <c r="IM48" s="166"/>
    </row>
    <row r="49" spans="1:247" customFormat="1" ht="15" hidden="1">
      <c r="A49" s="225" t="s">
        <v>161</v>
      </c>
      <c r="B49" s="225"/>
      <c r="C49" s="229">
        <v>1.88</v>
      </c>
      <c r="D49" s="227">
        <v>2.0099999999999998</v>
      </c>
      <c r="E49" s="224"/>
      <c r="F49" s="210" t="e">
        <f>CEILING((D49/#REF!)/B49,0.01)</f>
        <v>#REF!</v>
      </c>
      <c r="G49" s="211"/>
      <c r="H49" s="211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  <c r="FF49" s="166"/>
      <c r="FG49" s="166"/>
      <c r="FH49" s="166"/>
      <c r="FI49" s="166"/>
      <c r="FJ49" s="166"/>
      <c r="FK49" s="166"/>
      <c r="FL49" s="166"/>
      <c r="FM49" s="166"/>
      <c r="FN49" s="166"/>
      <c r="FO49" s="166"/>
      <c r="FP49" s="166"/>
      <c r="FQ49" s="166"/>
      <c r="FR49" s="166"/>
      <c r="FS49" s="166"/>
      <c r="FT49" s="166"/>
      <c r="FU49" s="166"/>
      <c r="FV49" s="166"/>
      <c r="FW49" s="166"/>
      <c r="FX49" s="166"/>
      <c r="FY49" s="166"/>
      <c r="FZ49" s="166"/>
      <c r="GA49" s="166"/>
      <c r="GB49" s="166"/>
      <c r="GC49" s="166"/>
      <c r="GD49" s="166"/>
      <c r="GE49" s="166"/>
      <c r="GF49" s="166"/>
      <c r="GG49" s="166"/>
      <c r="GH49" s="166"/>
      <c r="GI49" s="166"/>
      <c r="GJ49" s="166"/>
      <c r="GK49" s="166"/>
      <c r="GL49" s="166"/>
      <c r="GM49" s="166"/>
      <c r="GN49" s="166"/>
      <c r="GO49" s="166"/>
      <c r="GP49" s="166"/>
      <c r="GQ49" s="166"/>
      <c r="GR49" s="166"/>
      <c r="GS49" s="166"/>
      <c r="GT49" s="166"/>
      <c r="GU49" s="166"/>
      <c r="GV49" s="166"/>
      <c r="GW49" s="166"/>
      <c r="GX49" s="166"/>
      <c r="GY49" s="166"/>
      <c r="GZ49" s="166"/>
      <c r="HA49" s="166"/>
      <c r="HB49" s="166"/>
      <c r="HC49" s="166"/>
      <c r="HD49" s="166"/>
      <c r="HE49" s="166"/>
      <c r="HF49" s="166"/>
      <c r="HG49" s="166"/>
      <c r="HH49" s="166"/>
      <c r="HI49" s="166"/>
      <c r="HJ49" s="166"/>
      <c r="HK49" s="166"/>
      <c r="HL49" s="166"/>
      <c r="HM49" s="166"/>
      <c r="HN49" s="166"/>
      <c r="HO49" s="166"/>
      <c r="HP49" s="166"/>
      <c r="HQ49" s="166"/>
      <c r="HR49" s="166"/>
      <c r="HS49" s="166"/>
      <c r="HT49" s="166"/>
      <c r="HU49" s="166"/>
      <c r="HV49" s="166"/>
      <c r="HW49" s="166"/>
      <c r="HX49" s="166"/>
      <c r="HY49" s="166"/>
      <c r="HZ49" s="166"/>
      <c r="IA49" s="166"/>
      <c r="IB49" s="166"/>
      <c r="IC49" s="166"/>
      <c r="ID49" s="166"/>
      <c r="IE49" s="166"/>
      <c r="IF49" s="166"/>
      <c r="IG49" s="166"/>
      <c r="IH49" s="166"/>
      <c r="II49" s="166"/>
      <c r="IJ49" s="166"/>
      <c r="IK49" s="166"/>
      <c r="IL49" s="166"/>
      <c r="IM49" s="166"/>
    </row>
    <row r="50" spans="1:247" customFormat="1" ht="15" hidden="1">
      <c r="A50" s="225" t="s">
        <v>162</v>
      </c>
      <c r="B50" s="225"/>
      <c r="C50" s="229">
        <v>4.7</v>
      </c>
      <c r="D50" s="227">
        <v>5.04</v>
      </c>
      <c r="E50" s="224"/>
      <c r="F50" s="210" t="e">
        <f>CEILING((D50/#REF!)/B50,0.01)</f>
        <v>#REF!</v>
      </c>
      <c r="G50" s="211"/>
      <c r="H50" s="211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  <c r="IL50" s="166"/>
      <c r="IM50" s="166"/>
    </row>
    <row r="51" spans="1:247" customFormat="1" ht="15" hidden="1">
      <c r="A51" s="225" t="s">
        <v>163</v>
      </c>
      <c r="B51" s="225"/>
      <c r="C51" s="229">
        <v>0.56000000000000005</v>
      </c>
      <c r="D51" s="228">
        <v>0.6</v>
      </c>
      <c r="E51" s="224"/>
      <c r="F51" s="210" t="e">
        <f>CEILING((D51/#REF!)/B51,0.01)</f>
        <v>#REF!</v>
      </c>
      <c r="G51" s="211"/>
      <c r="H51" s="211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  <c r="IL51" s="166"/>
      <c r="IM51" s="166"/>
    </row>
    <row r="52" spans="1:247" customFormat="1" ht="15" hidden="1">
      <c r="A52" s="230" t="s">
        <v>164</v>
      </c>
      <c r="B52" s="230"/>
      <c r="C52" s="231">
        <v>1.41</v>
      </c>
      <c r="D52" s="232">
        <v>1.51</v>
      </c>
      <c r="E52" s="224"/>
      <c r="F52" s="210" t="e">
        <f>CEILING((D52/#REF!)/B52,0.01)</f>
        <v>#REF!</v>
      </c>
      <c r="G52" s="211"/>
      <c r="H52" s="211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166"/>
      <c r="IH52" s="166"/>
      <c r="II52" s="166"/>
      <c r="IJ52" s="166"/>
      <c r="IK52" s="166"/>
      <c r="IL52" s="166"/>
      <c r="IM52" s="166"/>
    </row>
    <row r="53" spans="1:247" customFormat="1" ht="14.25">
      <c r="A53" s="233" t="s">
        <v>165</v>
      </c>
      <c r="B53" s="234">
        <v>30</v>
      </c>
      <c r="C53" s="235">
        <v>2.0099999999999998</v>
      </c>
      <c r="D53" s="208">
        <f>D57</f>
        <v>1.3427879376326648</v>
      </c>
      <c r="E53" s="209">
        <f>F53*D9</f>
        <v>1.3439999999999999</v>
      </c>
      <c r="F53" s="210">
        <f>CEILING((D53/$D$9),0.01)</f>
        <v>1.92</v>
      </c>
      <c r="G53" s="211"/>
      <c r="H53" s="211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  <c r="HK53" s="166"/>
      <c r="HL53" s="166"/>
      <c r="HM53" s="166"/>
      <c r="HN53" s="166"/>
      <c r="HO53" s="166"/>
      <c r="HP53" s="166"/>
      <c r="HQ53" s="166"/>
      <c r="HR53" s="166"/>
      <c r="HS53" s="166"/>
      <c r="HT53" s="166"/>
      <c r="HU53" s="166"/>
      <c r="HV53" s="166"/>
      <c r="HW53" s="166"/>
      <c r="HX53" s="166"/>
      <c r="HY53" s="166"/>
      <c r="HZ53" s="166"/>
      <c r="IA53" s="166"/>
      <c r="IB53" s="166"/>
      <c r="IC53" s="166"/>
      <c r="ID53" s="166"/>
      <c r="IE53" s="166"/>
      <c r="IF53" s="166"/>
      <c r="IG53" s="166"/>
      <c r="IH53" s="166"/>
      <c r="II53" s="166"/>
      <c r="IJ53" s="166"/>
      <c r="IK53" s="166"/>
      <c r="IL53" s="166"/>
      <c r="IM53" s="166"/>
    </row>
    <row r="54" spans="1:247" customFormat="1" ht="14.25">
      <c r="A54" s="211"/>
      <c r="B54" s="211"/>
      <c r="C54" s="211"/>
      <c r="D54" s="204"/>
      <c r="E54" s="204"/>
      <c r="F54" s="204"/>
      <c r="G54" s="211"/>
      <c r="H54" s="211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  <c r="EU54" s="166"/>
      <c r="EV54" s="166"/>
      <c r="EW54" s="166"/>
      <c r="EX54" s="166"/>
      <c r="EY54" s="166"/>
      <c r="EZ54" s="166"/>
      <c r="FA54" s="166"/>
      <c r="FB54" s="166"/>
      <c r="FC54" s="166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  <c r="HK54" s="166"/>
      <c r="HL54" s="166"/>
      <c r="HM54" s="166"/>
      <c r="HN54" s="166"/>
      <c r="HO54" s="166"/>
      <c r="HP54" s="166"/>
      <c r="HQ54" s="166"/>
      <c r="HR54" s="166"/>
      <c r="HS54" s="166"/>
      <c r="HT54" s="166"/>
      <c r="HU54" s="166"/>
      <c r="HV54" s="166"/>
      <c r="HW54" s="166"/>
      <c r="HX54" s="166"/>
      <c r="HY54" s="166"/>
      <c r="HZ54" s="166"/>
      <c r="IA54" s="166"/>
      <c r="IB54" s="166"/>
      <c r="IC54" s="166"/>
      <c r="ID54" s="166"/>
      <c r="IE54" s="166"/>
      <c r="IF54" s="166"/>
      <c r="IG54" s="166"/>
      <c r="IH54" s="166"/>
      <c r="II54" s="166"/>
      <c r="IJ54" s="166"/>
      <c r="IK54" s="166"/>
      <c r="IL54" s="166"/>
      <c r="IM54" s="166"/>
    </row>
    <row r="55" spans="1:247" s="165" customFormat="1" ht="22.5">
      <c r="A55" s="296" t="s">
        <v>166</v>
      </c>
      <c r="B55" s="296"/>
      <c r="C55" s="296"/>
      <c r="D55" s="296"/>
      <c r="E55" s="296"/>
      <c r="F55" s="296"/>
      <c r="G55" s="211"/>
      <c r="H55" s="211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6"/>
      <c r="FE55" s="166"/>
      <c r="FF55" s="166"/>
      <c r="FG55" s="166"/>
      <c r="FH55" s="166"/>
      <c r="FI55" s="166"/>
      <c r="FJ55" s="166"/>
      <c r="FK55" s="166"/>
      <c r="FL55" s="166"/>
      <c r="FM55" s="166"/>
      <c r="FN55" s="166"/>
      <c r="FO55" s="166"/>
      <c r="FP55" s="166"/>
      <c r="FQ55" s="166"/>
      <c r="FR55" s="166"/>
      <c r="FS55" s="166"/>
      <c r="FT55" s="166"/>
      <c r="FU55" s="166"/>
      <c r="FV55" s="166"/>
      <c r="FW55" s="166"/>
      <c r="FX55" s="166"/>
      <c r="FY55" s="166"/>
      <c r="FZ55" s="166"/>
      <c r="GA55" s="166"/>
      <c r="GB55" s="166"/>
      <c r="GC55" s="166"/>
      <c r="GD55" s="166"/>
      <c r="GE55" s="166"/>
      <c r="GF55" s="166"/>
      <c r="GG55" s="166"/>
      <c r="GH55" s="166"/>
      <c r="GI55" s="166"/>
      <c r="GJ55" s="166"/>
      <c r="GK55" s="166"/>
      <c r="GL55" s="166"/>
      <c r="GM55" s="166"/>
      <c r="GN55" s="166"/>
      <c r="GO55" s="166"/>
      <c r="GP55" s="166"/>
      <c r="GQ55" s="166"/>
      <c r="GR55" s="166"/>
      <c r="GS55" s="166"/>
      <c r="GT55" s="166"/>
      <c r="GU55" s="166"/>
      <c r="GV55" s="166"/>
      <c r="GW55" s="166"/>
      <c r="GX55" s="166"/>
      <c r="GY55" s="166"/>
      <c r="GZ55" s="166"/>
      <c r="HA55" s="166"/>
      <c r="HB55" s="166"/>
      <c r="HC55" s="166"/>
      <c r="HD55" s="166"/>
      <c r="HE55" s="166"/>
      <c r="HF55" s="166"/>
      <c r="HG55" s="166"/>
      <c r="HH55" s="166"/>
      <c r="HI55" s="166"/>
      <c r="HJ55" s="166"/>
      <c r="HK55" s="166"/>
      <c r="HL55" s="166"/>
      <c r="HM55" s="166"/>
      <c r="HN55" s="166"/>
      <c r="HO55" s="166"/>
      <c r="HP55" s="166"/>
      <c r="HQ55" s="166"/>
      <c r="HR55" s="166"/>
      <c r="HS55" s="166"/>
      <c r="HT55" s="166"/>
      <c r="HU55" s="166"/>
      <c r="HV55" s="166"/>
      <c r="HW55" s="166"/>
      <c r="HX55" s="166"/>
      <c r="HY55" s="166"/>
      <c r="HZ55" s="166"/>
      <c r="IA55" s="166"/>
      <c r="IB55" s="166"/>
      <c r="IC55" s="166"/>
      <c r="ID55" s="166"/>
      <c r="IE55" s="166"/>
      <c r="IF55" s="166"/>
      <c r="IG55" s="166"/>
      <c r="IH55" s="166"/>
      <c r="II55" s="166"/>
      <c r="IJ55" s="166"/>
      <c r="IK55" s="166"/>
      <c r="IL55" s="166"/>
      <c r="IM55" s="166"/>
    </row>
    <row r="56" spans="1:247" s="166" customFormat="1" ht="31.5" customHeight="1">
      <c r="A56" s="301" t="s">
        <v>167</v>
      </c>
      <c r="B56" s="301"/>
      <c r="C56" s="301"/>
      <c r="D56" s="301"/>
      <c r="E56" s="301"/>
      <c r="F56" s="301"/>
      <c r="G56" s="211"/>
      <c r="H56" s="211"/>
    </row>
    <row r="57" spans="1:247" s="165" customFormat="1" ht="14.25">
      <c r="A57" s="233" t="s">
        <v>168</v>
      </c>
      <c r="B57" s="234">
        <v>30</v>
      </c>
      <c r="C57" s="211"/>
      <c r="D57" s="208">
        <f>TARIFFE2020!C57</f>
        <v>1.3427879376326648</v>
      </c>
      <c r="E57" s="209">
        <f>F57*$D$9</f>
        <v>1.3439999999999999</v>
      </c>
      <c r="F57" s="236">
        <f>CEILING(D57/$D$9,0.01)</f>
        <v>1.92</v>
      </c>
      <c r="G57" s="211"/>
      <c r="H57" s="211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  <c r="GF57" s="166"/>
      <c r="GG57" s="166"/>
      <c r="GH57" s="166"/>
      <c r="GI57" s="166"/>
      <c r="GJ57" s="166"/>
      <c r="GK57" s="166"/>
      <c r="GL57" s="166"/>
      <c r="GM57" s="166"/>
      <c r="GN57" s="166"/>
      <c r="GO57" s="166"/>
      <c r="GP57" s="166"/>
      <c r="GQ57" s="166"/>
      <c r="GR57" s="166"/>
      <c r="GS57" s="166"/>
      <c r="GT57" s="166"/>
      <c r="GU57" s="166"/>
      <c r="GV57" s="166"/>
      <c r="GW57" s="166"/>
      <c r="GX57" s="166"/>
      <c r="GY57" s="166"/>
      <c r="GZ57" s="166"/>
      <c r="HA57" s="166"/>
      <c r="HB57" s="166"/>
      <c r="HC57" s="166"/>
      <c r="HD57" s="166"/>
      <c r="HE57" s="166"/>
      <c r="HF57" s="166"/>
      <c r="HG57" s="166"/>
      <c r="HH57" s="166"/>
      <c r="HI57" s="166"/>
      <c r="HJ57" s="166"/>
      <c r="HK57" s="166"/>
      <c r="HL57" s="166"/>
      <c r="HM57" s="166"/>
      <c r="HN57" s="166"/>
      <c r="HO57" s="166"/>
      <c r="HP57" s="166"/>
      <c r="HQ57" s="166"/>
      <c r="HR57" s="166"/>
      <c r="HS57" s="166"/>
      <c r="HT57" s="166"/>
      <c r="HU57" s="166"/>
      <c r="HV57" s="166"/>
      <c r="HW57" s="166"/>
      <c r="HX57" s="166"/>
      <c r="HY57" s="166"/>
      <c r="HZ57" s="166"/>
      <c r="IA57" s="166"/>
      <c r="IB57" s="166"/>
      <c r="IC57" s="166"/>
      <c r="ID57" s="166"/>
      <c r="IE57" s="166"/>
      <c r="IF57" s="166"/>
      <c r="IG57" s="166"/>
      <c r="IH57" s="166"/>
      <c r="II57" s="166"/>
      <c r="IJ57" s="166"/>
      <c r="IK57" s="166"/>
      <c r="IL57" s="166"/>
      <c r="IM57" s="166"/>
    </row>
    <row r="58" spans="1:247">
      <c r="A58" s="233" t="s">
        <v>169</v>
      </c>
      <c r="B58" s="234">
        <v>30</v>
      </c>
      <c r="C58" s="211"/>
      <c r="D58" s="208">
        <f>TARIFFE2020!C58</f>
        <v>1.7456243189224643</v>
      </c>
      <c r="E58" s="209">
        <f>F58*$D$9</f>
        <v>1.75</v>
      </c>
      <c r="F58" s="236">
        <f>CEILING(D58/$D$9,0.01)</f>
        <v>2.5</v>
      </c>
      <c r="G58" s="211"/>
      <c r="H58" s="211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166"/>
      <c r="FE58" s="166"/>
      <c r="FF58" s="166"/>
      <c r="FG58" s="166"/>
      <c r="FH58" s="166"/>
      <c r="FI58" s="166"/>
      <c r="FJ58" s="166"/>
      <c r="FK58" s="166"/>
      <c r="FL58" s="166"/>
      <c r="FM58" s="166"/>
      <c r="FN58" s="166"/>
      <c r="FO58" s="166"/>
      <c r="FP58" s="166"/>
      <c r="FQ58" s="166"/>
      <c r="FR58" s="166"/>
      <c r="FS58" s="166"/>
      <c r="FT58" s="166"/>
      <c r="FU58" s="166"/>
      <c r="FV58" s="166"/>
      <c r="FW58" s="166"/>
      <c r="FX58" s="166"/>
      <c r="FY58" s="166"/>
      <c r="FZ58" s="166"/>
      <c r="GA58" s="166"/>
      <c r="GB58" s="166"/>
      <c r="GC58" s="166"/>
      <c r="GD58" s="166"/>
      <c r="GE58" s="166"/>
      <c r="GF58" s="166"/>
      <c r="GG58" s="166"/>
      <c r="GH58" s="166"/>
      <c r="GI58" s="166"/>
      <c r="GJ58" s="166"/>
      <c r="GK58" s="166"/>
      <c r="GL58" s="166"/>
      <c r="GM58" s="166"/>
      <c r="GN58" s="166"/>
      <c r="GO58" s="166"/>
      <c r="GP58" s="166"/>
      <c r="GQ58" s="166"/>
      <c r="GR58" s="166"/>
      <c r="GS58" s="166"/>
      <c r="GT58" s="166"/>
      <c r="GU58" s="166"/>
      <c r="GV58" s="166"/>
      <c r="GW58" s="166"/>
      <c r="GX58" s="166"/>
      <c r="GY58" s="166"/>
      <c r="GZ58" s="166"/>
      <c r="HA58" s="166"/>
      <c r="HB58" s="166"/>
      <c r="HC58" s="166"/>
      <c r="HD58" s="166"/>
      <c r="HE58" s="166"/>
      <c r="HF58" s="166"/>
      <c r="HG58" s="166"/>
      <c r="HH58" s="166"/>
      <c r="HI58" s="166"/>
      <c r="HJ58" s="166"/>
      <c r="HK58" s="166"/>
      <c r="HL58" s="166"/>
      <c r="HM58" s="166"/>
      <c r="HN58" s="166"/>
      <c r="HO58" s="166"/>
      <c r="HP58" s="166"/>
      <c r="HQ58" s="166"/>
      <c r="HR58" s="166"/>
      <c r="HS58" s="166"/>
      <c r="HT58" s="166"/>
      <c r="HU58" s="166"/>
      <c r="HV58" s="166"/>
      <c r="HW58" s="166"/>
      <c r="HX58" s="166"/>
      <c r="HY58" s="166"/>
      <c r="HZ58" s="166"/>
      <c r="IA58" s="166"/>
      <c r="IB58" s="166"/>
      <c r="IC58" s="166"/>
      <c r="ID58" s="166"/>
      <c r="IE58" s="166"/>
      <c r="IF58" s="166"/>
      <c r="IG58" s="166"/>
      <c r="IH58" s="166"/>
      <c r="II58" s="166"/>
      <c r="IJ58" s="166"/>
      <c r="IK58" s="166"/>
      <c r="IL58" s="166"/>
      <c r="IM58" s="166"/>
    </row>
    <row r="59" spans="1:247" ht="14.25">
      <c r="A59" s="233" t="s">
        <v>170</v>
      </c>
      <c r="B59" s="234">
        <v>30</v>
      </c>
      <c r="C59" s="237"/>
      <c r="D59" s="208">
        <f>TARIFFE2020!C59</f>
        <v>2.6184364783836966</v>
      </c>
      <c r="E59" s="209">
        <f>F59*$D$9</f>
        <v>2.625</v>
      </c>
      <c r="F59" s="236">
        <f>CEILING(D59/$D$9,0.01)</f>
        <v>3.75</v>
      </c>
      <c r="G59" s="211"/>
      <c r="H59" s="211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  <c r="EU59" s="166"/>
      <c r="EV59" s="166"/>
      <c r="EW59" s="166"/>
      <c r="EX59" s="166"/>
      <c r="EY59" s="166"/>
      <c r="EZ59" s="166"/>
      <c r="FA59" s="166"/>
      <c r="FB59" s="166"/>
      <c r="FC59" s="166"/>
      <c r="FD59" s="166"/>
      <c r="FE59" s="166"/>
      <c r="FF59" s="166"/>
      <c r="FG59" s="166"/>
      <c r="FH59" s="166"/>
      <c r="FI59" s="166"/>
      <c r="FJ59" s="166"/>
      <c r="FK59" s="166"/>
      <c r="FL59" s="166"/>
      <c r="FM59" s="166"/>
      <c r="FN59" s="166"/>
      <c r="FO59" s="166"/>
      <c r="FP59" s="166"/>
      <c r="FQ59" s="166"/>
      <c r="FR59" s="166"/>
      <c r="FS59" s="166"/>
      <c r="FT59" s="166"/>
      <c r="FU59" s="166"/>
      <c r="FV59" s="166"/>
      <c r="FW59" s="166"/>
      <c r="FX59" s="166"/>
      <c r="FY59" s="166"/>
      <c r="FZ59" s="166"/>
      <c r="GA59" s="166"/>
      <c r="GB59" s="166"/>
      <c r="GC59" s="166"/>
      <c r="GD59" s="166"/>
      <c r="GE59" s="166"/>
      <c r="GF59" s="166"/>
      <c r="GG59" s="166"/>
      <c r="GH59" s="166"/>
      <c r="GI59" s="166"/>
      <c r="GJ59" s="166"/>
      <c r="GK59" s="166"/>
      <c r="GL59" s="166"/>
      <c r="GM59" s="166"/>
      <c r="GN59" s="166"/>
      <c r="GO59" s="166"/>
      <c r="GP59" s="166"/>
      <c r="GQ59" s="166"/>
      <c r="GR59" s="166"/>
      <c r="GS59" s="166"/>
      <c r="GT59" s="166"/>
      <c r="GU59" s="166"/>
      <c r="GV59" s="166"/>
      <c r="GW59" s="166"/>
      <c r="GX59" s="166"/>
      <c r="GY59" s="166"/>
      <c r="GZ59" s="166"/>
      <c r="HA59" s="166"/>
      <c r="HB59" s="166"/>
      <c r="HC59" s="166"/>
      <c r="HD59" s="166"/>
      <c r="HE59" s="166"/>
      <c r="HF59" s="166"/>
      <c r="HG59" s="166"/>
      <c r="HH59" s="166"/>
      <c r="HI59" s="166"/>
      <c r="HJ59" s="166"/>
      <c r="HK59" s="166"/>
      <c r="HL59" s="166"/>
      <c r="HM59" s="166"/>
      <c r="HN59" s="166"/>
      <c r="HO59" s="166"/>
      <c r="HP59" s="166"/>
      <c r="HQ59" s="166"/>
      <c r="HR59" s="166"/>
      <c r="HS59" s="166"/>
      <c r="HT59" s="166"/>
      <c r="HU59" s="166"/>
      <c r="HV59" s="166"/>
      <c r="HW59" s="166"/>
      <c r="HX59" s="166"/>
      <c r="HY59" s="166"/>
      <c r="HZ59" s="166"/>
      <c r="IA59" s="166"/>
      <c r="IB59" s="166"/>
      <c r="IC59" s="166"/>
      <c r="ID59" s="166"/>
      <c r="IE59" s="166"/>
      <c r="IF59" s="166"/>
      <c r="IG59" s="166"/>
      <c r="IH59" s="166"/>
      <c r="II59" s="166"/>
      <c r="IJ59" s="166"/>
      <c r="IK59" s="166"/>
      <c r="IL59" s="166"/>
      <c r="IM59" s="166"/>
    </row>
    <row r="60" spans="1:247" ht="15" thickBot="1">
      <c r="A60" s="238" t="s">
        <v>171</v>
      </c>
      <c r="B60" s="239">
        <v>30</v>
      </c>
      <c r="C60" s="240"/>
      <c r="D60" s="241">
        <f>TARIFFE2020!C60</f>
        <v>3.4912486378449286</v>
      </c>
      <c r="E60" s="242">
        <f>F60*$D$9</f>
        <v>3.4929999999999999</v>
      </c>
      <c r="F60" s="243">
        <f>CEILING(D60/$D$9,0.01)</f>
        <v>4.99</v>
      </c>
      <c r="G60" s="211"/>
      <c r="H60" s="211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  <c r="FA60" s="166"/>
      <c r="FB60" s="166"/>
      <c r="FC60" s="166"/>
      <c r="FD60" s="166"/>
      <c r="FE60" s="166"/>
      <c r="FF60" s="166"/>
      <c r="FG60" s="166"/>
      <c r="FH60" s="166"/>
      <c r="FI60" s="166"/>
      <c r="FJ60" s="166"/>
      <c r="FK60" s="166"/>
      <c r="FL60" s="166"/>
      <c r="FM60" s="166"/>
      <c r="FN60" s="166"/>
      <c r="FO60" s="166"/>
      <c r="FP60" s="166"/>
      <c r="FQ60" s="166"/>
      <c r="FR60" s="166"/>
      <c r="FS60" s="166"/>
      <c r="FT60" s="166"/>
      <c r="FU60" s="166"/>
      <c r="FV60" s="166"/>
      <c r="FW60" s="166"/>
      <c r="FX60" s="166"/>
      <c r="FY60" s="166"/>
      <c r="FZ60" s="166"/>
      <c r="GA60" s="166"/>
      <c r="GB60" s="166"/>
      <c r="GC60" s="166"/>
      <c r="GD60" s="166"/>
      <c r="GE60" s="166"/>
      <c r="GF60" s="166"/>
      <c r="GG60" s="166"/>
      <c r="GH60" s="166"/>
      <c r="GI60" s="166"/>
      <c r="GJ60" s="166"/>
      <c r="GK60" s="166"/>
      <c r="GL60" s="166"/>
      <c r="GM60" s="166"/>
      <c r="GN60" s="166"/>
      <c r="GO60" s="166"/>
      <c r="GP60" s="166"/>
      <c r="GQ60" s="166"/>
      <c r="GR60" s="166"/>
      <c r="GS60" s="166"/>
      <c r="GT60" s="166"/>
      <c r="GU60" s="166"/>
      <c r="GV60" s="166"/>
      <c r="GW60" s="166"/>
      <c r="GX60" s="166"/>
      <c r="GY60" s="166"/>
      <c r="GZ60" s="166"/>
      <c r="HA60" s="166"/>
      <c r="HB60" s="166"/>
      <c r="HC60" s="166"/>
      <c r="HD60" s="166"/>
      <c r="HE60" s="166"/>
      <c r="HF60" s="166"/>
      <c r="HG60" s="166"/>
      <c r="HH60" s="166"/>
      <c r="HI60" s="166"/>
      <c r="HJ60" s="166"/>
      <c r="HK60" s="166"/>
      <c r="HL60" s="166"/>
      <c r="HM60" s="166"/>
      <c r="HN60" s="166"/>
      <c r="HO60" s="166"/>
      <c r="HP60" s="166"/>
      <c r="HQ60" s="166"/>
      <c r="HR60" s="166"/>
      <c r="HS60" s="166"/>
      <c r="HT60" s="166"/>
      <c r="HU60" s="166"/>
      <c r="HV60" s="166"/>
      <c r="HW60" s="166"/>
      <c r="HX60" s="166"/>
      <c r="HY60" s="166"/>
      <c r="HZ60" s="166"/>
      <c r="IA60" s="166"/>
      <c r="IB60" s="166"/>
      <c r="IC60" s="166"/>
      <c r="ID60" s="166"/>
      <c r="IE60" s="166"/>
      <c r="IF60" s="166"/>
      <c r="IG60" s="166"/>
      <c r="IH60" s="166"/>
      <c r="II60" s="166"/>
      <c r="IJ60" s="166"/>
      <c r="IK60" s="166"/>
      <c r="IL60" s="166"/>
      <c r="IM60" s="166"/>
    </row>
    <row r="61" spans="1:247" s="166" customFormat="1" ht="14.25">
      <c r="A61" s="244"/>
      <c r="B61" s="245"/>
      <c r="C61" s="246"/>
      <c r="D61" s="247"/>
      <c r="E61" s="248"/>
      <c r="F61" s="249"/>
      <c r="G61" s="211"/>
      <c r="H61" s="211"/>
    </row>
    <row r="62" spans="1:247">
      <c r="A62" s="233" t="s">
        <v>172</v>
      </c>
      <c r="B62" s="234">
        <v>60</v>
      </c>
      <c r="C62" s="211"/>
      <c r="D62" s="208">
        <f>TARIFFE2020!D57</f>
        <v>2.6855758752653296</v>
      </c>
      <c r="E62" s="209">
        <f>F62*$D$9</f>
        <v>2.6879999999999997</v>
      </c>
      <c r="F62" s="236">
        <f>CEILING(D62/$D$9,0.01)</f>
        <v>3.84</v>
      </c>
      <c r="G62" s="211"/>
      <c r="H62" s="211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</row>
    <row r="63" spans="1:247">
      <c r="A63" s="233" t="s">
        <v>169</v>
      </c>
      <c r="B63" s="234">
        <v>60</v>
      </c>
      <c r="C63" s="211"/>
      <c r="D63" s="208">
        <f>TARIFFE2020!D58</f>
        <v>3.4912486378449286</v>
      </c>
      <c r="E63" s="209">
        <f>F63*$D$9</f>
        <v>3.4929999999999999</v>
      </c>
      <c r="F63" s="236">
        <f>CEILING(D63/$D$9,0.01)</f>
        <v>4.99</v>
      </c>
      <c r="G63" s="211"/>
      <c r="H63" s="211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66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6"/>
      <c r="HL63" s="166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</row>
    <row r="64" spans="1:247" ht="14.25">
      <c r="A64" s="233" t="s">
        <v>170</v>
      </c>
      <c r="B64" s="234">
        <v>60</v>
      </c>
      <c r="C64" s="237"/>
      <c r="D64" s="208">
        <f>TARIFFE2020!D59</f>
        <v>5.2368729567673933</v>
      </c>
      <c r="E64" s="209">
        <f>F64*$D$9</f>
        <v>5.2429999999999994</v>
      </c>
      <c r="F64" s="236">
        <f>CEILING(D64/$D$9,0.01)</f>
        <v>7.49</v>
      </c>
      <c r="G64" s="211"/>
      <c r="H64" s="211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</row>
    <row r="65" spans="1:8" ht="15" thickBot="1">
      <c r="A65" s="238" t="s">
        <v>171</v>
      </c>
      <c r="B65" s="239">
        <v>60</v>
      </c>
      <c r="C65" s="240"/>
      <c r="D65" s="241">
        <f>TARIFFE2020!D60</f>
        <v>6.9824972756898571</v>
      </c>
      <c r="E65" s="242">
        <f>F65*$D$9</f>
        <v>6.9859999999999998</v>
      </c>
      <c r="F65" s="243">
        <f>CEILING(D65/$D$9,0.01)</f>
        <v>9.98</v>
      </c>
      <c r="G65" s="211"/>
      <c r="H65" s="211"/>
    </row>
    <row r="66" spans="1:8" ht="14.25">
      <c r="A66" s="237"/>
      <c r="B66" s="237"/>
      <c r="C66" s="237"/>
      <c r="D66" s="250"/>
      <c r="E66" s="250"/>
      <c r="F66" s="250"/>
      <c r="G66" s="211"/>
      <c r="H66" s="211"/>
    </row>
    <row r="67" spans="1:8" s="166" customFormat="1">
      <c r="A67" s="233" t="s">
        <v>173</v>
      </c>
      <c r="B67" s="234">
        <v>90</v>
      </c>
      <c r="C67" s="211"/>
      <c r="D67" s="208">
        <f>TARIFFE2020!E57</f>
        <v>4.0283638128979948</v>
      </c>
      <c r="E67" s="209">
        <f>F67*$D$9</f>
        <v>4.032</v>
      </c>
      <c r="F67" s="236">
        <f>CEILING(D67/$D$9,0.01)</f>
        <v>5.76</v>
      </c>
      <c r="G67" s="211"/>
      <c r="H67" s="211"/>
    </row>
    <row r="68" spans="1:8">
      <c r="A68" s="233" t="s">
        <v>169</v>
      </c>
      <c r="B68" s="234">
        <v>90</v>
      </c>
      <c r="C68" s="211"/>
      <c r="D68" s="208">
        <f>TARIFFE2020!E58</f>
        <v>5.2368729567673924</v>
      </c>
      <c r="E68" s="209">
        <f>F68*$D$9</f>
        <v>5.2429999999999994</v>
      </c>
      <c r="F68" s="236">
        <f>CEILING(D68/$D$9,0.01)</f>
        <v>7.49</v>
      </c>
      <c r="G68" s="211"/>
      <c r="H68" s="211"/>
    </row>
    <row r="69" spans="1:8" ht="14.25">
      <c r="A69" s="233" t="s">
        <v>170</v>
      </c>
      <c r="B69" s="234">
        <v>90</v>
      </c>
      <c r="C69" s="237"/>
      <c r="D69" s="208">
        <v>9.06</v>
      </c>
      <c r="E69" s="209">
        <v>9.06</v>
      </c>
      <c r="F69" s="236">
        <f>CEILING(D69/$D$9,0.01)</f>
        <v>12.950000000000001</v>
      </c>
      <c r="G69" s="211"/>
      <c r="H69" s="211"/>
    </row>
    <row r="70" spans="1:8" ht="15" thickBot="1">
      <c r="A70" s="238" t="s">
        <v>171</v>
      </c>
      <c r="B70" s="239">
        <v>90</v>
      </c>
      <c r="C70" s="240"/>
      <c r="D70" s="241">
        <v>12.09</v>
      </c>
      <c r="E70" s="242">
        <v>12.09</v>
      </c>
      <c r="F70" s="243">
        <f>CEILING(D70/$D$9,0.01)</f>
        <v>17.28</v>
      </c>
      <c r="G70" s="211"/>
      <c r="H70" s="211"/>
    </row>
    <row r="71" spans="1:8" s="166" customFormat="1" ht="14.25">
      <c r="A71" s="251"/>
      <c r="B71" s="252"/>
      <c r="C71" s="237"/>
      <c r="D71" s="247"/>
      <c r="E71" s="253"/>
      <c r="F71" s="254"/>
      <c r="G71" s="211"/>
      <c r="H71" s="211"/>
    </row>
    <row r="72" spans="1:8" ht="14.25">
      <c r="A72" s="237"/>
      <c r="B72" s="237"/>
      <c r="C72" s="237"/>
      <c r="D72" s="250"/>
      <c r="E72" s="250"/>
      <c r="F72" s="250"/>
      <c r="G72" s="211"/>
      <c r="H72" s="211"/>
    </row>
    <row r="73" spans="1:8" ht="22.5">
      <c r="A73" s="296" t="s">
        <v>174</v>
      </c>
      <c r="B73" s="296"/>
      <c r="C73" s="296"/>
      <c r="D73" s="296"/>
      <c r="E73" s="296"/>
      <c r="F73" s="296"/>
      <c r="G73" s="211"/>
      <c r="H73" s="211"/>
    </row>
    <row r="74" spans="1:8">
      <c r="A74" s="211"/>
      <c r="B74" s="211"/>
      <c r="C74" s="211"/>
      <c r="D74" s="204"/>
      <c r="E74" s="204"/>
      <c r="F74" s="204"/>
      <c r="G74" s="211"/>
      <c r="H74" s="211"/>
    </row>
    <row r="75" spans="1:8">
      <c r="A75" s="233" t="s">
        <v>175</v>
      </c>
      <c r="B75" s="234">
        <v>30</v>
      </c>
      <c r="C75" s="211"/>
      <c r="D75" s="208">
        <f>TARIFFE2020!C61</f>
        <v>2.6855758752653296</v>
      </c>
      <c r="E75" s="209">
        <f>F75*$D$9</f>
        <v>2.6879999999999997</v>
      </c>
      <c r="F75" s="236">
        <f>CEILING(D75/$D$9,0.01)</f>
        <v>3.84</v>
      </c>
      <c r="G75" s="211"/>
      <c r="H75" s="211"/>
    </row>
    <row r="76" spans="1:8">
      <c r="A76" s="233" t="s">
        <v>169</v>
      </c>
      <c r="B76" s="234">
        <v>30</v>
      </c>
      <c r="C76" s="211"/>
      <c r="D76" s="208">
        <f>TARIFFE2020!C62</f>
        <v>3.4912486378449286</v>
      </c>
      <c r="E76" s="209">
        <f>F76*$D$9</f>
        <v>3.4929999999999999</v>
      </c>
      <c r="F76" s="236">
        <f>CEILING(D76/$D$9,0.01)</f>
        <v>4.99</v>
      </c>
      <c r="G76" s="211"/>
      <c r="H76" s="211"/>
    </row>
    <row r="77" spans="1:8" s="166" customFormat="1" ht="14.25">
      <c r="A77" s="233" t="s">
        <v>170</v>
      </c>
      <c r="B77" s="234">
        <v>30</v>
      </c>
      <c r="C77" s="237"/>
      <c r="D77" s="208">
        <f>TARIFFE2020!C63</f>
        <v>4.3640607973061609</v>
      </c>
      <c r="E77" s="209">
        <f>F77*$D$9</f>
        <v>4.3679999999999994</v>
      </c>
      <c r="F77" s="236">
        <f>CEILING(D77/$D$9,0.01)</f>
        <v>6.24</v>
      </c>
      <c r="G77" s="211"/>
      <c r="H77" s="211"/>
    </row>
    <row r="78" spans="1:8" ht="15" thickBot="1">
      <c r="A78" s="238" t="s">
        <v>171</v>
      </c>
      <c r="B78" s="239">
        <v>30</v>
      </c>
      <c r="C78" s="240"/>
      <c r="D78" s="241">
        <f>TARIFFE2020!C64</f>
        <v>5.2368729567673933</v>
      </c>
      <c r="E78" s="242">
        <f>F78*$D$9</f>
        <v>5.2429999999999994</v>
      </c>
      <c r="F78" s="243">
        <f>CEILING(D78/$D$9,0.01)</f>
        <v>7.49</v>
      </c>
      <c r="G78" s="211"/>
      <c r="H78" s="211"/>
    </row>
    <row r="79" spans="1:8" ht="14.25">
      <c r="A79" s="251"/>
      <c r="B79" s="252"/>
      <c r="C79" s="237"/>
      <c r="D79" s="247"/>
      <c r="E79" s="253"/>
      <c r="F79" s="254"/>
      <c r="G79" s="211"/>
      <c r="H79" s="211"/>
    </row>
    <row r="80" spans="1:8">
      <c r="A80" s="233" t="s">
        <v>176</v>
      </c>
      <c r="B80" s="234">
        <v>60</v>
      </c>
      <c r="C80" s="211"/>
      <c r="D80" s="208">
        <f>5.37</f>
        <v>5.37</v>
      </c>
      <c r="E80" s="209">
        <f>F80*$D$9</f>
        <v>5.3759999999999994</v>
      </c>
      <c r="F80" s="236">
        <f>CEILING(D80/$D$9,0.01)</f>
        <v>7.68</v>
      </c>
      <c r="G80" s="211"/>
      <c r="H80" s="211"/>
    </row>
    <row r="81" spans="1:8">
      <c r="A81" s="233" t="s">
        <v>169</v>
      </c>
      <c r="B81" s="234">
        <v>60</v>
      </c>
      <c r="C81" s="211"/>
      <c r="D81" s="208">
        <f>8.06</f>
        <v>8.06</v>
      </c>
      <c r="E81" s="209">
        <f>F81*$D$9</f>
        <v>8.0640000000000001</v>
      </c>
      <c r="F81" s="236">
        <f>CEILING(D81/$D$9,0.01)</f>
        <v>11.52</v>
      </c>
      <c r="G81" s="211"/>
      <c r="H81" s="211"/>
    </row>
    <row r="82" spans="1:8" s="166" customFormat="1" ht="14.25">
      <c r="A82" s="233" t="s">
        <v>170</v>
      </c>
      <c r="B82" s="234">
        <v>60</v>
      </c>
      <c r="C82" s="237"/>
      <c r="D82" s="208">
        <f>10.07</f>
        <v>10.07</v>
      </c>
      <c r="E82" s="209">
        <f>F82*$D$9</f>
        <v>10.073</v>
      </c>
      <c r="F82" s="236">
        <f>CEILING(D82/$D$9,0.01)</f>
        <v>14.39</v>
      </c>
      <c r="G82" s="211"/>
      <c r="H82" s="211"/>
    </row>
    <row r="83" spans="1:8" ht="15" thickBot="1">
      <c r="A83" s="238" t="s">
        <v>171</v>
      </c>
      <c r="B83" s="239">
        <v>60</v>
      </c>
      <c r="C83" s="240"/>
      <c r="D83" s="241">
        <f>12.09</f>
        <v>12.09</v>
      </c>
      <c r="E83" s="242">
        <f>F83*$D$9</f>
        <v>12.096</v>
      </c>
      <c r="F83" s="243">
        <f>CEILING(D83/$D$9,0.01)</f>
        <v>17.28</v>
      </c>
      <c r="G83" s="211"/>
      <c r="H83" s="211"/>
    </row>
    <row r="84" spans="1:8" ht="14.25">
      <c r="A84" s="251"/>
      <c r="B84" s="252"/>
      <c r="C84" s="237"/>
      <c r="D84" s="247"/>
      <c r="E84" s="253"/>
      <c r="F84" s="254"/>
      <c r="G84" s="211"/>
      <c r="H84" s="211"/>
    </row>
    <row r="85" spans="1:8">
      <c r="A85" s="233" t="s">
        <v>175</v>
      </c>
      <c r="B85" s="234">
        <v>90</v>
      </c>
      <c r="C85" s="211"/>
      <c r="D85" s="208">
        <f>TARIFFE2020!E61</f>
        <v>8.0567276257959897</v>
      </c>
      <c r="E85" s="209">
        <f>F85*$D$9</f>
        <v>8.0569999999999986</v>
      </c>
      <c r="F85" s="236">
        <f>CEILING(D85/$D$9,0.01)</f>
        <v>11.51</v>
      </c>
      <c r="G85" s="211"/>
      <c r="H85" s="211"/>
    </row>
    <row r="86" spans="1:8">
      <c r="A86" s="233" t="s">
        <v>169</v>
      </c>
      <c r="B86" s="234">
        <v>90</v>
      </c>
      <c r="C86" s="211"/>
      <c r="D86" s="208">
        <f>TARIFFE2020!E62</f>
        <v>10.473745913534785</v>
      </c>
      <c r="E86" s="209">
        <f>F86*$D$9</f>
        <v>10.478999999999999</v>
      </c>
      <c r="F86" s="236">
        <f>CEILING(D86/$D$9,0.01)</f>
        <v>14.97</v>
      </c>
      <c r="G86" s="211"/>
      <c r="H86" s="211"/>
    </row>
    <row r="87" spans="1:8" s="166" customFormat="1" ht="14.25">
      <c r="A87" s="233" t="s">
        <v>170</v>
      </c>
      <c r="B87" s="234">
        <v>90</v>
      </c>
      <c r="C87" s="237"/>
      <c r="D87" s="208">
        <f>TARIFFE2020!E63</f>
        <v>13.092182391918483</v>
      </c>
      <c r="E87" s="209">
        <f>F87*$D$9</f>
        <v>13.097</v>
      </c>
      <c r="F87" s="236">
        <f>CEILING(D87/$D$9,0.01)</f>
        <v>18.71</v>
      </c>
      <c r="G87" s="211"/>
      <c r="H87" s="211"/>
    </row>
    <row r="88" spans="1:8" s="166" customFormat="1" ht="15" thickBot="1">
      <c r="A88" s="238" t="s">
        <v>171</v>
      </c>
      <c r="B88" s="239">
        <v>90</v>
      </c>
      <c r="C88" s="240"/>
      <c r="D88" s="241">
        <f>TARIFFE2020!E64</f>
        <v>15.710618870302181</v>
      </c>
      <c r="E88" s="242">
        <f>F88*$D$9</f>
        <v>15.714999999999998</v>
      </c>
      <c r="F88" s="243">
        <f>CEILING(D88/$D$9,0.01)</f>
        <v>22.45</v>
      </c>
      <c r="G88" s="211"/>
      <c r="H88" s="211"/>
    </row>
    <row r="89" spans="1:8" s="166" customFormat="1" ht="14.25">
      <c r="A89" s="237"/>
      <c r="B89" s="237"/>
      <c r="C89" s="237"/>
      <c r="D89" s="250"/>
      <c r="E89" s="250"/>
      <c r="F89" s="250"/>
      <c r="G89" s="211"/>
      <c r="H89" s="211"/>
    </row>
    <row r="90" spans="1:8" ht="15">
      <c r="A90" s="255"/>
      <c r="B90" s="237"/>
      <c r="C90" s="237"/>
      <c r="D90" s="250"/>
      <c r="E90" s="250"/>
      <c r="F90" s="250"/>
      <c r="G90" s="211"/>
      <c r="H90" s="211"/>
    </row>
    <row r="91" spans="1:8">
      <c r="A91" s="291" t="s">
        <v>177</v>
      </c>
      <c r="B91" s="291"/>
      <c r="C91" s="291"/>
      <c r="D91" s="291"/>
      <c r="E91" s="291"/>
      <c r="F91" s="291"/>
      <c r="G91" s="291"/>
      <c r="H91" s="291"/>
    </row>
    <row r="92" spans="1:8">
      <c r="A92" s="291"/>
      <c r="B92" s="291"/>
      <c r="C92" s="291"/>
      <c r="D92" s="291"/>
      <c r="E92" s="291"/>
      <c r="F92" s="291"/>
      <c r="G92" s="291"/>
      <c r="H92" s="291"/>
    </row>
    <row r="93" spans="1:8">
      <c r="A93" s="291"/>
      <c r="B93" s="291"/>
      <c r="C93" s="291"/>
      <c r="D93" s="291"/>
      <c r="E93" s="291"/>
      <c r="F93" s="291"/>
      <c r="G93" s="291"/>
      <c r="H93" s="291"/>
    </row>
    <row r="94" spans="1:8" ht="15.75">
      <c r="A94" s="256"/>
      <c r="B94" s="237"/>
      <c r="C94" s="237"/>
      <c r="D94" s="250"/>
      <c r="E94" s="250"/>
      <c r="F94" s="250"/>
      <c r="G94" s="250"/>
      <c r="H94" s="250"/>
    </row>
    <row r="95" spans="1:8" ht="14.25">
      <c r="A95" s="257" t="s">
        <v>178</v>
      </c>
      <c r="B95" s="258"/>
      <c r="C95" s="258"/>
      <c r="D95" s="259">
        <v>0.7</v>
      </c>
      <c r="E95" s="250"/>
      <c r="F95" s="250"/>
      <c r="G95" s="250"/>
      <c r="H95" s="250"/>
    </row>
    <row r="96" spans="1:8" ht="14.25">
      <c r="A96" s="237"/>
      <c r="B96" s="237"/>
      <c r="C96" s="260"/>
      <c r="D96" s="250"/>
      <c r="E96" s="261"/>
      <c r="F96" s="261"/>
      <c r="G96" s="262"/>
      <c r="H96" s="250"/>
    </row>
    <row r="97" spans="1:8" ht="14.25">
      <c r="A97" s="237" t="s">
        <v>179</v>
      </c>
      <c r="B97" s="237"/>
      <c r="C97" s="237"/>
      <c r="D97" s="263">
        <v>10</v>
      </c>
      <c r="E97" s="263">
        <v>15</v>
      </c>
      <c r="F97" s="263">
        <v>20</v>
      </c>
      <c r="G97" s="263">
        <v>25</v>
      </c>
      <c r="H97" s="263">
        <v>30</v>
      </c>
    </row>
    <row r="98" spans="1:8" ht="14.25">
      <c r="A98" s="292" t="s">
        <v>180</v>
      </c>
      <c r="B98" s="292"/>
      <c r="C98" s="293"/>
      <c r="D98" s="264"/>
      <c r="E98" s="264"/>
      <c r="F98" s="264"/>
      <c r="G98" s="264"/>
      <c r="H98" s="264"/>
    </row>
    <row r="99" spans="1:8" s="166" customFormat="1" ht="14.25">
      <c r="A99" s="273" t="s">
        <v>181</v>
      </c>
      <c r="B99" s="273"/>
      <c r="C99" s="265"/>
      <c r="D99" s="271">
        <f>1.14/$D$9</f>
        <v>1.6285714285714286</v>
      </c>
      <c r="E99" s="271">
        <f>1.48/$D$9</f>
        <v>2.1142857142857143</v>
      </c>
      <c r="F99" s="271">
        <f>1.82/$D$9</f>
        <v>2.6</v>
      </c>
      <c r="G99" s="271">
        <f>2.16/$D$9</f>
        <v>3.0857142857142863</v>
      </c>
      <c r="H99" s="271">
        <f>2.5/$D$9</f>
        <v>3.5714285714285716</v>
      </c>
    </row>
    <row r="100" spans="1:8" ht="14.25">
      <c r="A100" s="237"/>
      <c r="B100" s="266"/>
      <c r="C100" s="237"/>
      <c r="D100" s="267">
        <f>D99*D95</f>
        <v>1.1399999999999999</v>
      </c>
      <c r="E100" s="267">
        <v>1.48</v>
      </c>
      <c r="F100" s="267">
        <v>1.82</v>
      </c>
      <c r="G100" s="267">
        <v>2.16</v>
      </c>
      <c r="H100" s="267">
        <v>2.5</v>
      </c>
    </row>
    <row r="101" spans="1:8" s="166" customFormat="1" ht="14.25">
      <c r="A101" s="250" t="s">
        <v>182</v>
      </c>
      <c r="B101" s="266"/>
      <c r="C101" s="237"/>
      <c r="D101" s="264"/>
      <c r="E101" s="264"/>
      <c r="F101" s="264"/>
      <c r="G101" s="264"/>
      <c r="H101" s="264"/>
    </row>
    <row r="102" spans="1:8" s="166" customFormat="1" ht="14.25">
      <c r="A102" s="268" t="s">
        <v>181</v>
      </c>
      <c r="B102" s="266"/>
      <c r="C102" s="237"/>
      <c r="D102" s="271">
        <f>1.7/$D$9</f>
        <v>2.4285714285714288</v>
      </c>
      <c r="E102" s="271">
        <f>2.22/$D$9</f>
        <v>3.1714285714285717</v>
      </c>
      <c r="F102" s="271">
        <f>2.7/$D$9</f>
        <v>3.8571428571428577</v>
      </c>
      <c r="G102" s="271">
        <f>3.24/$D$9</f>
        <v>4.628571428571429</v>
      </c>
      <c r="H102" s="271">
        <f>3.75/$D$9</f>
        <v>5.3571428571428577</v>
      </c>
    </row>
    <row r="103" spans="1:8" s="166" customFormat="1" ht="14.25">
      <c r="A103" s="237"/>
      <c r="B103" s="266"/>
      <c r="C103" s="237"/>
      <c r="D103" s="267">
        <f>D102*D95</f>
        <v>1.7000000000000002</v>
      </c>
      <c r="E103" s="267">
        <f>E102*D95</f>
        <v>2.2200000000000002</v>
      </c>
      <c r="F103" s="267">
        <f>F102*D95</f>
        <v>2.7</v>
      </c>
      <c r="G103" s="267">
        <f>G102*D95</f>
        <v>3.24</v>
      </c>
      <c r="H103" s="267">
        <f>H102*D95</f>
        <v>3.75</v>
      </c>
    </row>
    <row r="104" spans="1:8" s="166" customFormat="1" ht="14.25">
      <c r="A104" s="237"/>
      <c r="B104" s="266"/>
      <c r="C104" s="237"/>
      <c r="D104" s="269"/>
      <c r="E104" s="269"/>
      <c r="F104" s="269"/>
      <c r="G104" s="269"/>
      <c r="H104" s="269"/>
    </row>
    <row r="105" spans="1:8" ht="14.25">
      <c r="A105" s="237"/>
      <c r="B105" s="237"/>
      <c r="C105" s="260"/>
      <c r="D105" s="250"/>
      <c r="E105" s="270"/>
      <c r="F105" s="270"/>
      <c r="G105" s="262"/>
      <c r="H105" s="250"/>
    </row>
    <row r="106" spans="1:8" ht="14.25">
      <c r="A106" s="237" t="s">
        <v>183</v>
      </c>
      <c r="B106" s="237"/>
      <c r="C106" s="237"/>
      <c r="D106" s="250"/>
      <c r="E106" s="250"/>
      <c r="F106" s="250"/>
      <c r="G106" s="250" t="s">
        <v>184</v>
      </c>
      <c r="H106" s="250">
        <v>1</v>
      </c>
    </row>
    <row r="107" spans="1:8" ht="14.25">
      <c r="A107" s="237" t="s">
        <v>185</v>
      </c>
      <c r="B107" s="237"/>
      <c r="C107" s="237"/>
      <c r="D107" s="250"/>
      <c r="E107" s="250"/>
      <c r="F107" s="250"/>
      <c r="G107" s="250" t="s">
        <v>184</v>
      </c>
      <c r="H107" s="250">
        <v>2</v>
      </c>
    </row>
    <row r="108" spans="1:8" ht="14.25">
      <c r="A108" s="237" t="s">
        <v>186</v>
      </c>
      <c r="B108" s="237"/>
      <c r="C108" s="237"/>
      <c r="D108" s="250"/>
      <c r="E108" s="250"/>
      <c r="F108" s="250"/>
      <c r="G108" s="250" t="s">
        <v>184</v>
      </c>
      <c r="H108" s="250">
        <v>4</v>
      </c>
    </row>
    <row r="109" spans="1:8" ht="14.25">
      <c r="A109" s="237" t="s">
        <v>187</v>
      </c>
      <c r="B109" s="237"/>
      <c r="C109" s="237"/>
      <c r="D109" s="250"/>
      <c r="E109" s="250"/>
      <c r="F109" s="250"/>
      <c r="G109" s="250" t="s">
        <v>184</v>
      </c>
      <c r="H109" s="250">
        <v>24</v>
      </c>
    </row>
    <row r="110" spans="1:8" ht="14.25">
      <c r="A110" s="237"/>
      <c r="B110" s="237"/>
      <c r="C110" s="237"/>
      <c r="D110" s="250"/>
      <c r="E110" s="250"/>
      <c r="F110" s="250"/>
      <c r="G110" s="250"/>
      <c r="H110" s="250"/>
    </row>
    <row r="111" spans="1:8" ht="14.25">
      <c r="A111" s="237" t="s">
        <v>188</v>
      </c>
      <c r="B111" s="237"/>
      <c r="C111" s="237"/>
      <c r="D111" s="250"/>
      <c r="E111" s="250"/>
      <c r="F111" s="250"/>
      <c r="G111" s="250"/>
      <c r="H111" s="250"/>
    </row>
    <row r="112" spans="1:8" ht="14.25">
      <c r="A112" s="237" t="s">
        <v>189</v>
      </c>
      <c r="B112" s="237"/>
      <c r="C112" s="237"/>
      <c r="D112" s="250"/>
      <c r="E112" s="250"/>
      <c r="F112" s="250"/>
      <c r="G112" s="250"/>
      <c r="H112" s="250"/>
    </row>
    <row r="113" spans="1:8" ht="14.25">
      <c r="A113" s="237" t="s">
        <v>190</v>
      </c>
      <c r="B113" s="237"/>
      <c r="C113" s="237"/>
      <c r="D113" s="250"/>
      <c r="E113" s="250"/>
      <c r="F113" s="250"/>
      <c r="G113" s="250"/>
      <c r="H113" s="250"/>
    </row>
    <row r="114" spans="1:8" ht="14.25">
      <c r="A114" s="237" t="s">
        <v>191</v>
      </c>
      <c r="B114" s="237"/>
      <c r="C114" s="237"/>
      <c r="D114" s="250"/>
      <c r="E114" s="250"/>
      <c r="F114" s="250"/>
      <c r="G114" s="250"/>
      <c r="H114" s="250"/>
    </row>
    <row r="115" spans="1:8" ht="14.25">
      <c r="A115" s="237"/>
      <c r="B115" s="237"/>
      <c r="C115" s="237"/>
      <c r="D115" s="250"/>
      <c r="E115" s="250"/>
      <c r="F115" s="250"/>
      <c r="G115" s="250"/>
      <c r="H115" s="250"/>
    </row>
    <row r="116" spans="1:8" ht="14.25">
      <c r="A116" s="237" t="s">
        <v>192</v>
      </c>
      <c r="B116" s="237"/>
      <c r="C116" s="237"/>
      <c r="D116" s="250"/>
      <c r="E116" s="250"/>
      <c r="F116" s="250"/>
      <c r="G116" s="250"/>
      <c r="H116" s="250"/>
    </row>
    <row r="117" spans="1:8" ht="14.25">
      <c r="A117" s="237" t="s">
        <v>193</v>
      </c>
      <c r="B117" s="237"/>
      <c r="C117" s="237"/>
      <c r="D117" s="250"/>
      <c r="E117" s="250"/>
      <c r="F117" s="250"/>
      <c r="G117" s="250"/>
      <c r="H117" s="250"/>
    </row>
    <row r="118" spans="1:8" ht="14.25">
      <c r="A118" s="237" t="s">
        <v>194</v>
      </c>
      <c r="B118" s="237"/>
      <c r="C118" s="237"/>
      <c r="D118" s="250"/>
      <c r="E118" s="250"/>
      <c r="F118" s="250"/>
      <c r="G118" s="250"/>
      <c r="H118" s="250"/>
    </row>
    <row r="119" spans="1:8" ht="14.25">
      <c r="A119" s="237" t="s">
        <v>195</v>
      </c>
      <c r="B119" s="237"/>
      <c r="C119" s="237"/>
      <c r="D119" s="250"/>
      <c r="E119" s="250"/>
      <c r="F119" s="250"/>
      <c r="G119" s="250"/>
      <c r="H119" s="250"/>
    </row>
  </sheetData>
  <mergeCells count="10">
    <mergeCell ref="A91:H93"/>
    <mergeCell ref="A98:C98"/>
    <mergeCell ref="A10:A11"/>
    <mergeCell ref="A55:F55"/>
    <mergeCell ref="A44:D44"/>
    <mergeCell ref="A14:F14"/>
    <mergeCell ref="A73:F73"/>
    <mergeCell ref="A19:F19"/>
    <mergeCell ref="A24:F24"/>
    <mergeCell ref="A56:F56"/>
  </mergeCells>
  <pageMargins left="0.7" right="0.7" top="0.75" bottom="0.75" header="0.3" footer="0.3"/>
  <pageSetup paperSize="8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4"/>
  <sheetViews>
    <sheetView workbookViewId="0"/>
  </sheetViews>
  <sheetFormatPr defaultColWidth="7.25" defaultRowHeight="14.25" customHeight="1"/>
  <cols>
    <col min="1" max="1" width="39.5" style="2" customWidth="1"/>
    <col min="2" max="2" width="17.75" style="2" customWidth="1"/>
    <col min="3" max="3" width="15.125" style="2" customWidth="1"/>
    <col min="4" max="16384" width="7.25" style="2"/>
  </cols>
  <sheetData>
    <row r="1" spans="1:3" ht="36.75" customHeight="1">
      <c r="A1" s="5" t="s">
        <v>196</v>
      </c>
      <c r="B1" s="6" t="s">
        <v>197</v>
      </c>
      <c r="C1" s="7" t="s">
        <v>198</v>
      </c>
    </row>
    <row r="2" spans="1:3" ht="15" customHeight="1">
      <c r="A2" s="302" t="s">
        <v>199</v>
      </c>
      <c r="B2" s="302"/>
      <c r="C2" s="302"/>
    </row>
    <row r="3" spans="1:3" ht="14.25" customHeight="1">
      <c r="A3" s="3" t="s">
        <v>200</v>
      </c>
      <c r="B3" s="8">
        <v>-21.07</v>
      </c>
      <c r="C3" s="9">
        <v>-21.07</v>
      </c>
    </row>
    <row r="4" spans="1:3" ht="14.25" customHeight="1">
      <c r="A4" s="3" t="s">
        <v>201</v>
      </c>
      <c r="B4" s="10">
        <v>25.46</v>
      </c>
      <c r="C4" s="11">
        <v>24.58</v>
      </c>
    </row>
    <row r="5" spans="1:3" ht="14.25" customHeight="1">
      <c r="A5" s="3" t="s">
        <v>202</v>
      </c>
      <c r="B5" s="10">
        <v>38.19</v>
      </c>
      <c r="C5" s="11">
        <v>36.880000000000003</v>
      </c>
    </row>
    <row r="6" spans="1:3" ht="14.25" customHeight="1">
      <c r="A6" s="3" t="s">
        <v>203</v>
      </c>
      <c r="B6" s="10">
        <v>50.92</v>
      </c>
      <c r="C6" s="11">
        <v>49.17</v>
      </c>
    </row>
    <row r="7" spans="1:3" ht="15" customHeight="1">
      <c r="A7" s="302" t="s">
        <v>204</v>
      </c>
      <c r="B7" s="302"/>
      <c r="C7" s="302"/>
    </row>
    <row r="8" spans="1:3" ht="14.25" customHeight="1">
      <c r="A8" s="3" t="s">
        <v>200</v>
      </c>
      <c r="B8" s="8">
        <v>-42.14</v>
      </c>
      <c r="C8" s="9">
        <v>-42.14</v>
      </c>
    </row>
    <row r="9" spans="1:3" ht="14.25" customHeight="1">
      <c r="A9" s="3" t="s">
        <v>201</v>
      </c>
      <c r="B9" s="10">
        <v>50.92</v>
      </c>
      <c r="C9" s="11">
        <v>49.17</v>
      </c>
    </row>
    <row r="10" spans="1:3" ht="14.25" customHeight="1">
      <c r="A10" s="3" t="s">
        <v>205</v>
      </c>
      <c r="B10" s="10">
        <v>63.65</v>
      </c>
      <c r="C10" s="11">
        <v>61.46</v>
      </c>
    </row>
    <row r="11" spans="1:3" ht="14.25" customHeight="1">
      <c r="A11" s="3" t="s">
        <v>203</v>
      </c>
      <c r="B11" s="10">
        <v>76.38</v>
      </c>
      <c r="C11" s="11">
        <v>73.75</v>
      </c>
    </row>
    <row r="12" spans="1:3" ht="15" customHeight="1">
      <c r="A12" s="303" t="s">
        <v>206</v>
      </c>
      <c r="B12" s="303"/>
      <c r="C12" s="303"/>
    </row>
    <row r="13" spans="1:3" ht="14.25" customHeight="1">
      <c r="A13" s="3" t="s">
        <v>200</v>
      </c>
      <c r="B13" s="8">
        <v>-52.68</v>
      </c>
      <c r="C13" s="9">
        <v>-52.68</v>
      </c>
    </row>
    <row r="14" spans="1:3" ht="14.25" customHeight="1">
      <c r="A14" s="3" t="s">
        <v>207</v>
      </c>
      <c r="B14" s="10">
        <v>63.65</v>
      </c>
      <c r="C14" s="11">
        <v>61.46</v>
      </c>
    </row>
    <row r="15" spans="1:3" ht="14.25" customHeight="1">
      <c r="A15" s="4" t="s">
        <v>205</v>
      </c>
      <c r="B15" s="10">
        <v>76.38</v>
      </c>
      <c r="C15" s="11">
        <v>73.75</v>
      </c>
    </row>
    <row r="16" spans="1:3" ht="14.25" customHeight="1">
      <c r="A16" s="4" t="s">
        <v>203</v>
      </c>
      <c r="B16" s="10">
        <v>89.11</v>
      </c>
      <c r="C16" s="11">
        <v>86.04</v>
      </c>
    </row>
    <row r="17" spans="1:3" ht="15" customHeight="1">
      <c r="A17" s="303" t="s">
        <v>208</v>
      </c>
      <c r="B17" s="303"/>
      <c r="C17" s="303"/>
    </row>
    <row r="18" spans="1:3" ht="14.25" customHeight="1">
      <c r="A18" s="3" t="s">
        <v>209</v>
      </c>
      <c r="B18" s="8">
        <v>-73.75</v>
      </c>
      <c r="C18" s="9">
        <v>-73.75</v>
      </c>
    </row>
    <row r="19" spans="1:3" ht="14.25" customHeight="1">
      <c r="A19" s="3" t="s">
        <v>210</v>
      </c>
      <c r="B19" s="10">
        <v>89.11</v>
      </c>
      <c r="C19" s="11">
        <v>86.04</v>
      </c>
    </row>
    <row r="20" spans="1:3" ht="14.25" customHeight="1">
      <c r="A20" s="3" t="s">
        <v>211</v>
      </c>
      <c r="B20" s="10">
        <v>101.85</v>
      </c>
      <c r="C20" s="11">
        <v>98.33</v>
      </c>
    </row>
    <row r="21" spans="1:3" ht="14.25" customHeight="1">
      <c r="A21" s="3" t="s">
        <v>212</v>
      </c>
      <c r="B21" s="10">
        <v>114.58</v>
      </c>
      <c r="C21" s="11">
        <v>110.63</v>
      </c>
    </row>
    <row r="22" spans="1:3" ht="15" customHeight="1">
      <c r="A22" s="304" t="s">
        <v>213</v>
      </c>
      <c r="B22" s="304"/>
      <c r="C22" s="304"/>
    </row>
    <row r="23" spans="1:3" ht="14.25" customHeight="1">
      <c r="A23" s="3" t="s">
        <v>214</v>
      </c>
      <c r="B23" s="8">
        <v>-4.34</v>
      </c>
      <c r="C23" s="9">
        <v>-4.34</v>
      </c>
    </row>
    <row r="24" spans="1:3" ht="14.25" customHeight="1">
      <c r="A24" s="3" t="s">
        <v>215</v>
      </c>
      <c r="B24" s="8">
        <v>-13.01</v>
      </c>
      <c r="C24" s="9">
        <v>-13.01</v>
      </c>
    </row>
    <row r="25" spans="1:3" ht="14.25" customHeight="1">
      <c r="A25" s="3" t="s">
        <v>216</v>
      </c>
      <c r="B25" s="10">
        <v>25.46</v>
      </c>
      <c r="C25" s="11">
        <v>24.58</v>
      </c>
    </row>
    <row r="26" spans="1:3" ht="14.25" customHeight="1">
      <c r="A26" s="3" t="s">
        <v>217</v>
      </c>
      <c r="B26" s="10">
        <v>63.65</v>
      </c>
      <c r="C26" s="11">
        <v>61.46</v>
      </c>
    </row>
    <row r="27" spans="1:3" ht="14.25" customHeight="1">
      <c r="A27" s="3" t="s">
        <v>218</v>
      </c>
      <c r="B27" s="8">
        <v>-59.5</v>
      </c>
      <c r="C27" s="9">
        <v>-59.5</v>
      </c>
    </row>
    <row r="28" spans="1:3" ht="14.25" customHeight="1">
      <c r="A28" s="3" t="s">
        <v>219</v>
      </c>
      <c r="B28" s="8">
        <v>-89.24</v>
      </c>
      <c r="C28" s="9">
        <v>-89.24</v>
      </c>
    </row>
    <row r="29" spans="1:3" ht="14.25" customHeight="1">
      <c r="A29" s="3" t="s">
        <v>220</v>
      </c>
      <c r="B29" s="8">
        <v>-29.75</v>
      </c>
      <c r="C29" s="9">
        <v>-29.75</v>
      </c>
    </row>
    <row r="30" spans="1:3" ht="14.25" customHeight="1">
      <c r="A30" s="3" t="s">
        <v>221</v>
      </c>
      <c r="B30" s="8">
        <v>-59.5</v>
      </c>
      <c r="C30" s="9">
        <v>-59.5</v>
      </c>
    </row>
    <row r="31" spans="1:3" ht="14.25" customHeight="1">
      <c r="A31" s="4" t="s">
        <v>222</v>
      </c>
      <c r="B31" s="8">
        <v>-89.24</v>
      </c>
      <c r="C31" s="9">
        <v>-89.24</v>
      </c>
    </row>
    <row r="32" spans="1:3" ht="14.25" customHeight="1">
      <c r="A32" s="4" t="s">
        <v>223</v>
      </c>
      <c r="B32" s="8">
        <v>-21.07</v>
      </c>
      <c r="C32" s="9">
        <v>-21.07</v>
      </c>
    </row>
    <row r="33" spans="1:3" ht="14.25" customHeight="1">
      <c r="A33" s="3" t="s">
        <v>224</v>
      </c>
      <c r="B33" s="8">
        <v>-21.07</v>
      </c>
      <c r="C33" s="9">
        <v>-21.07</v>
      </c>
    </row>
    <row r="34" spans="1:3" ht="14.25" customHeight="1">
      <c r="A34" s="3" t="s">
        <v>225</v>
      </c>
      <c r="B34" s="10">
        <v>25.46</v>
      </c>
      <c r="C34" s="11">
        <v>24.58</v>
      </c>
    </row>
    <row r="35" spans="1:3" ht="14.25" customHeight="1">
      <c r="A35" s="3" t="s">
        <v>226</v>
      </c>
      <c r="B35" s="10">
        <v>38.19</v>
      </c>
      <c r="C35" s="11">
        <v>36.880000000000003</v>
      </c>
    </row>
    <row r="36" spans="1:3" ht="14.25" customHeight="1">
      <c r="A36" s="3" t="s">
        <v>227</v>
      </c>
      <c r="B36" s="10">
        <v>50.92</v>
      </c>
      <c r="C36" s="11">
        <v>49.17</v>
      </c>
    </row>
    <row r="37" spans="1:3" ht="14.25" customHeight="1">
      <c r="A37" s="3" t="s">
        <v>228</v>
      </c>
      <c r="B37" s="8">
        <v>-69.41</v>
      </c>
      <c r="C37" s="9">
        <v>-69.41</v>
      </c>
    </row>
    <row r="38" spans="1:3" ht="14.25" customHeight="1">
      <c r="A38" s="3" t="s">
        <v>229</v>
      </c>
      <c r="B38" s="8">
        <v>-173.53</v>
      </c>
      <c r="C38" s="9">
        <v>-173.53</v>
      </c>
    </row>
    <row r="39" spans="1:3" ht="14.25" customHeight="1">
      <c r="A39" s="3" t="s">
        <v>230</v>
      </c>
      <c r="B39" s="8">
        <v>-34.71</v>
      </c>
      <c r="C39" s="9">
        <v>-34.71</v>
      </c>
    </row>
    <row r="40" spans="1:3" ht="14.25" customHeight="1">
      <c r="A40" s="3" t="s">
        <v>231</v>
      </c>
      <c r="B40" s="8">
        <v>-86.77</v>
      </c>
      <c r="C40" s="9">
        <v>-86.77</v>
      </c>
    </row>
    <row r="41" spans="1:3" ht="14.25" customHeight="1">
      <c r="A41" s="3" t="s">
        <v>153</v>
      </c>
      <c r="B41" s="8">
        <v>-4.34</v>
      </c>
      <c r="C41" s="9">
        <v>-4.34</v>
      </c>
    </row>
    <row r="42" spans="1:3" ht="14.25" customHeight="1">
      <c r="A42" s="3" t="s">
        <v>232</v>
      </c>
      <c r="B42" s="8">
        <v>-10.85</v>
      </c>
      <c r="C42" s="9">
        <v>-10.85</v>
      </c>
    </row>
    <row r="43" spans="1:3" ht="14.25" customHeight="1">
      <c r="A43" s="4" t="s">
        <v>154</v>
      </c>
      <c r="B43" s="8">
        <v>-104.12</v>
      </c>
      <c r="C43" s="9">
        <v>-104.12</v>
      </c>
    </row>
    <row r="44" spans="1:3" ht="14.25" customHeight="1">
      <c r="A44" s="4" t="s">
        <v>155</v>
      </c>
      <c r="B44" s="8">
        <v>-52.06</v>
      </c>
      <c r="C44" s="9">
        <v>-52.06</v>
      </c>
    </row>
  </sheetData>
  <mergeCells count="5">
    <mergeCell ref="A2:C2"/>
    <mergeCell ref="A7:C7"/>
    <mergeCell ref="A12:C12"/>
    <mergeCell ref="A17:C17"/>
    <mergeCell ref="A22:C2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7.25" defaultRowHeight="15.6" customHeight="1"/>
  <cols>
    <col min="1" max="1" width="34.875" style="2" customWidth="1"/>
    <col min="2" max="16384" width="7.25" style="2"/>
  </cols>
  <sheetData>
    <row r="1" spans="1:1" ht="15.6" customHeight="1">
      <c r="A1" s="12" t="s">
        <v>156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/>
  </sheetViews>
  <sheetFormatPr defaultColWidth="7.25" defaultRowHeight="14.25" customHeight="1"/>
  <cols>
    <col min="1" max="1" width="34.5" style="2" customWidth="1"/>
    <col min="2" max="2" width="22.375" style="2" customWidth="1"/>
    <col min="3" max="3" width="15.5" style="2" customWidth="1"/>
    <col min="4" max="16384" width="7.25" style="2"/>
  </cols>
  <sheetData>
    <row r="1" spans="1:3" ht="14.25" customHeight="1">
      <c r="A1" s="3" t="s">
        <v>157</v>
      </c>
      <c r="B1" s="8">
        <v>-1.61</v>
      </c>
      <c r="C1" s="13">
        <v>-1.61</v>
      </c>
    </row>
    <row r="2" spans="1:3" ht="14.25" customHeight="1">
      <c r="A2" s="3" t="s">
        <v>158</v>
      </c>
      <c r="B2" s="8">
        <v>-4.03</v>
      </c>
      <c r="C2" s="13">
        <v>-4.03</v>
      </c>
    </row>
    <row r="3" spans="1:3" ht="14.25" customHeight="1">
      <c r="A3" s="3" t="s">
        <v>159</v>
      </c>
      <c r="B3" s="8">
        <v>-0.48</v>
      </c>
      <c r="C3" s="13">
        <v>-0.48</v>
      </c>
    </row>
    <row r="4" spans="1:3" ht="14.25" customHeight="1">
      <c r="A4" s="3" t="s">
        <v>160</v>
      </c>
      <c r="B4" s="8">
        <v>-1.21</v>
      </c>
      <c r="C4" s="13">
        <v>-1.21</v>
      </c>
    </row>
    <row r="5" spans="1:3" ht="14.25" customHeight="1">
      <c r="A5" s="3" t="s">
        <v>161</v>
      </c>
      <c r="B5" s="10">
        <v>1.95</v>
      </c>
      <c r="C5" s="14">
        <v>1.88</v>
      </c>
    </row>
    <row r="6" spans="1:3" ht="14.25" customHeight="1">
      <c r="A6" s="3" t="s">
        <v>162</v>
      </c>
      <c r="B6" s="10">
        <v>4.87</v>
      </c>
      <c r="C6" s="14">
        <v>4.7</v>
      </c>
    </row>
    <row r="7" spans="1:3" ht="14.25" customHeight="1">
      <c r="A7" s="4" t="s">
        <v>163</v>
      </c>
      <c r="B7" s="10">
        <v>0.57999999999999996</v>
      </c>
      <c r="C7" s="14">
        <v>0.56000000000000005</v>
      </c>
    </row>
    <row r="8" spans="1:3" ht="14.25" customHeight="1">
      <c r="A8" s="4" t="s">
        <v>164</v>
      </c>
      <c r="B8" s="10">
        <v>1.46</v>
      </c>
      <c r="C8" s="14">
        <v>1.41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/>
  </sheetViews>
  <sheetFormatPr defaultColWidth="7.25" defaultRowHeight="14.25" customHeight="1"/>
  <cols>
    <col min="1" max="1" width="0.75" style="2" customWidth="1"/>
    <col min="2" max="2" width="72.75" style="2" customWidth="1"/>
    <col min="3" max="16384" width="7.25" style="2"/>
  </cols>
  <sheetData>
    <row r="1" spans="1:2" ht="17.100000000000001" customHeight="1">
      <c r="A1" s="15" t="s">
        <v>233</v>
      </c>
      <c r="B1" s="15"/>
    </row>
    <row r="2" spans="1:2" ht="14.25" customHeight="1">
      <c r="A2" s="16">
        <v>1</v>
      </c>
      <c r="B2" s="1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Biselli</dc:creator>
  <cp:keywords/>
  <dc:description/>
  <cp:lastModifiedBy>alessandra.falagiani@cnpg912.onmicrosoft.com</cp:lastModifiedBy>
  <cp:revision>10</cp:revision>
  <dcterms:created xsi:type="dcterms:W3CDTF">2020-11-28T10:51:16Z</dcterms:created>
  <dcterms:modified xsi:type="dcterms:W3CDTF">2021-04-27T11:32:12Z</dcterms:modified>
  <cp:category/>
  <cp:contentStatus/>
</cp:coreProperties>
</file>