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0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fb1\AC\Temp\"/>
    </mc:Choice>
  </mc:AlternateContent>
  <xr:revisionPtr revIDLastSave="2" documentId="8_{DF5545AC-97A6-431E-A17C-2CEE4AD58CD5}" xr6:coauthVersionLast="47" xr6:coauthVersionMax="47" xr10:uidLastSave="{746D7B4C-B05F-40AA-957A-49341C662513}"/>
  <bookViews>
    <workbookView xWindow="-120" yWindow="-120" windowWidth="15600" windowHeight="11760" firstSheet="2" activeTab="1" xr2:uid="{00000000-000D-0000-FFFF-FFFF00000000}"/>
  </bookViews>
  <sheets>
    <sheet name="INFO" sheetId="7" r:id="rId1"/>
    <sheet name="TARIFFE2020" sheetId="8" r:id="rId2"/>
    <sheet name="CONVERTITORE TARIFFE CANONE" sheetId="6" r:id="rId3"/>
    <sheet name="Table 2" sheetId="2" state="hidden" r:id="rId4"/>
    <sheet name="Table 3" sheetId="3" state="hidden" r:id="rId5"/>
    <sheet name="Table 4" sheetId="4" state="hidden" r:id="rId6"/>
    <sheet name="Table 5" sheetId="5" state="hidden" r:id="rId7"/>
  </sheets>
  <externalReferences>
    <externalReference r:id="rId8"/>
  </externalReferenc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2" i="6" l="1"/>
  <c r="H103" i="6"/>
  <c r="G102" i="6"/>
  <c r="G103" i="6"/>
  <c r="F102" i="6"/>
  <c r="F103" i="6"/>
  <c r="E102" i="6"/>
  <c r="E103" i="6"/>
  <c r="D102" i="6"/>
  <c r="D103" i="6"/>
  <c r="H99" i="6"/>
  <c r="G99" i="6"/>
  <c r="D99" i="6"/>
  <c r="D100" i="6"/>
  <c r="F99" i="6"/>
  <c r="E99" i="6"/>
  <c r="F32" i="6"/>
  <c r="E32" i="6"/>
  <c r="D83" i="6"/>
  <c r="F83" i="6"/>
  <c r="E83" i="6"/>
  <c r="D82" i="6"/>
  <c r="F82" i="6"/>
  <c r="E82" i="6"/>
  <c r="D81" i="6"/>
  <c r="F81" i="6"/>
  <c r="E81" i="6"/>
  <c r="D80" i="6"/>
  <c r="F80" i="6"/>
  <c r="E80" i="6"/>
  <c r="F69" i="6"/>
  <c r="F70" i="6"/>
  <c r="B8" i="8"/>
  <c r="F14" i="8"/>
  <c r="C9" i="8"/>
  <c r="C51" i="8"/>
  <c r="F8" i="8"/>
  <c r="F50" i="8"/>
  <c r="F86" i="8"/>
  <c r="F85" i="8"/>
  <c r="F84" i="8"/>
  <c r="F83" i="8"/>
  <c r="F82" i="8"/>
  <c r="A50" i="8"/>
  <c r="F31" i="6"/>
  <c r="E31" i="6"/>
  <c r="F44" i="6"/>
  <c r="F46" i="6"/>
  <c r="F50" i="6"/>
  <c r="F49" i="6"/>
  <c r="F47" i="6"/>
  <c r="F51" i="6"/>
  <c r="F48" i="6"/>
  <c r="F52" i="6"/>
  <c r="F45" i="6"/>
  <c r="C25" i="8"/>
  <c r="G14" i="8"/>
  <c r="C26" i="8"/>
  <c r="F15" i="8"/>
  <c r="G15" i="8"/>
  <c r="B50" i="8"/>
  <c r="C27" i="8"/>
  <c r="D25" i="8"/>
  <c r="F106" i="8"/>
  <c r="F94" i="8"/>
  <c r="F128" i="8"/>
  <c r="F57" i="8"/>
  <c r="F132" i="8"/>
  <c r="F126" i="8"/>
  <c r="D43" i="6"/>
  <c r="F43" i="6"/>
  <c r="E43" i="6"/>
  <c r="F123" i="8"/>
  <c r="D42" i="6"/>
  <c r="F42" i="6"/>
  <c r="E42" i="6"/>
  <c r="D26" i="8"/>
  <c r="C28" i="8"/>
  <c r="D33" i="6"/>
  <c r="F98" i="8"/>
  <c r="C98" i="8"/>
  <c r="C94" i="8"/>
  <c r="F95" i="8"/>
  <c r="D41" i="6"/>
  <c r="F41" i="6"/>
  <c r="E41" i="6"/>
  <c r="F107" i="8"/>
  <c r="D26" i="6"/>
  <c r="F26" i="6"/>
  <c r="E26" i="6"/>
  <c r="F133" i="8"/>
  <c r="E26" i="8"/>
  <c r="D28" i="8"/>
  <c r="C57" i="8"/>
  <c r="F61" i="8"/>
  <c r="C112" i="8"/>
  <c r="F66" i="8"/>
  <c r="F58" i="8"/>
  <c r="F70" i="8"/>
  <c r="C70" i="8"/>
  <c r="D15" i="6"/>
  <c r="F15" i="6" s="1"/>
  <c r="E15" i="6"/>
  <c r="D27" i="8"/>
  <c r="E25" i="8"/>
  <c r="F129" i="8"/>
  <c r="D25" i="6"/>
  <c r="F25" i="6"/>
  <c r="E25" i="6"/>
  <c r="E70" i="8"/>
  <c r="D70" i="8"/>
  <c r="F69" i="8"/>
  <c r="F60" i="8"/>
  <c r="F59" i="8"/>
  <c r="F68" i="8"/>
  <c r="C58" i="8"/>
  <c r="D16" i="6"/>
  <c r="F16" i="6"/>
  <c r="E16" i="6"/>
  <c r="F62" i="8"/>
  <c r="C113" i="8"/>
  <c r="F71" i="8"/>
  <c r="C71" i="8"/>
  <c r="F72" i="8"/>
  <c r="C72" i="8"/>
  <c r="F73" i="8"/>
  <c r="C73" i="8"/>
  <c r="E94" i="8"/>
  <c r="D94" i="8"/>
  <c r="C61" i="8"/>
  <c r="D20" i="6"/>
  <c r="F20" i="6"/>
  <c r="E20" i="6"/>
  <c r="F99" i="8"/>
  <c r="C95" i="8"/>
  <c r="D34" i="6"/>
  <c r="F96" i="8"/>
  <c r="F97" i="8"/>
  <c r="F25" i="8"/>
  <c r="E27" i="8"/>
  <c r="D57" i="6"/>
  <c r="D57" i="8"/>
  <c r="D62" i="6"/>
  <c r="F62" i="6"/>
  <c r="E62" i="6"/>
  <c r="E57" i="8"/>
  <c r="D67" i="6"/>
  <c r="F67" i="6"/>
  <c r="E67" i="6"/>
  <c r="C116" i="8"/>
  <c r="F67" i="8"/>
  <c r="C66" i="8"/>
  <c r="E98" i="8"/>
  <c r="D98" i="8"/>
  <c r="E112" i="8"/>
  <c r="F112" i="8"/>
  <c r="D27" i="6"/>
  <c r="F27" i="6"/>
  <c r="E27" i="6"/>
  <c r="D112" i="8"/>
  <c r="E28" i="8"/>
  <c r="F26" i="8"/>
  <c r="D37" i="6"/>
  <c r="F37" i="6"/>
  <c r="E37" i="6"/>
  <c r="F33" i="6"/>
  <c r="E33" i="6"/>
  <c r="F34" i="6"/>
  <c r="E34" i="6"/>
  <c r="D38" i="6"/>
  <c r="F38" i="6"/>
  <c r="E38" i="6"/>
  <c r="E61" i="8"/>
  <c r="D85" i="6"/>
  <c r="F85" i="6"/>
  <c r="E85" i="6"/>
  <c r="D75" i="6"/>
  <c r="F75" i="6"/>
  <c r="E75" i="6"/>
  <c r="D61" i="8"/>
  <c r="F27" i="8"/>
  <c r="G25" i="8"/>
  <c r="G27" i="8"/>
  <c r="E95" i="8"/>
  <c r="D95" i="8"/>
  <c r="E71" i="8"/>
  <c r="D71" i="8"/>
  <c r="D58" i="6"/>
  <c r="F58" i="6"/>
  <c r="E58" i="6"/>
  <c r="D58" i="8"/>
  <c r="D63" i="6"/>
  <c r="F63" i="6"/>
  <c r="E63" i="6"/>
  <c r="E58" i="8"/>
  <c r="D68" i="6"/>
  <c r="F68" i="6"/>
  <c r="E68" i="6"/>
  <c r="C119" i="8"/>
  <c r="C69" i="8"/>
  <c r="F116" i="8"/>
  <c r="D116" i="8"/>
  <c r="E116" i="8"/>
  <c r="D18" i="6"/>
  <c r="F18" i="6"/>
  <c r="E18" i="6"/>
  <c r="C115" i="8"/>
  <c r="C60" i="8"/>
  <c r="D36" i="6"/>
  <c r="C97" i="8"/>
  <c r="C99" i="8"/>
  <c r="F101" i="8"/>
  <c r="C101" i="8"/>
  <c r="F100" i="8"/>
  <c r="C100" i="8"/>
  <c r="D113" i="8"/>
  <c r="D28" i="6"/>
  <c r="F28" i="6"/>
  <c r="E28" i="6"/>
  <c r="E113" i="8"/>
  <c r="F113" i="8"/>
  <c r="C118" i="8"/>
  <c r="C68" i="8"/>
  <c r="D72" i="8"/>
  <c r="E72" i="8"/>
  <c r="G26" i="8"/>
  <c r="G28" i="8"/>
  <c r="F28" i="8"/>
  <c r="E66" i="8"/>
  <c r="D66" i="8"/>
  <c r="C67" i="8"/>
  <c r="C117" i="8"/>
  <c r="F57" i="6"/>
  <c r="E57" i="6"/>
  <c r="D53" i="6"/>
  <c r="F53" i="6"/>
  <c r="E53" i="6"/>
  <c r="D35" i="6"/>
  <c r="C96" i="8"/>
  <c r="E73" i="8"/>
  <c r="D73" i="8"/>
  <c r="D21" i="6"/>
  <c r="F21" i="6"/>
  <c r="E21" i="6"/>
  <c r="F64" i="8"/>
  <c r="F63" i="8"/>
  <c r="C62" i="8"/>
  <c r="C114" i="8"/>
  <c r="D17" i="6"/>
  <c r="F17" i="6"/>
  <c r="E17" i="6"/>
  <c r="C59" i="8"/>
  <c r="F114" i="8"/>
  <c r="D114" i="8"/>
  <c r="E114" i="8"/>
  <c r="D29" i="6"/>
  <c r="F29" i="6"/>
  <c r="E29" i="6"/>
  <c r="F35" i="6"/>
  <c r="E35" i="6"/>
  <c r="D39" i="6"/>
  <c r="F39" i="6"/>
  <c r="E39" i="6"/>
  <c r="D76" i="6"/>
  <c r="F76" i="6"/>
  <c r="E76" i="6"/>
  <c r="D62" i="8"/>
  <c r="E62" i="8"/>
  <c r="D86" i="6"/>
  <c r="F86" i="6"/>
  <c r="E86" i="6"/>
  <c r="E100" i="8"/>
  <c r="D100" i="8"/>
  <c r="F36" i="6"/>
  <c r="E36" i="6"/>
  <c r="D40" i="6"/>
  <c r="F40" i="6"/>
  <c r="E40" i="6"/>
  <c r="F119" i="8"/>
  <c r="E119" i="8"/>
  <c r="D119" i="8"/>
  <c r="E67" i="8"/>
  <c r="D67" i="8"/>
  <c r="F118" i="8"/>
  <c r="D118" i="8"/>
  <c r="E118" i="8"/>
  <c r="E97" i="8"/>
  <c r="D97" i="8"/>
  <c r="D69" i="8"/>
  <c r="E69" i="8"/>
  <c r="D59" i="6"/>
  <c r="F59" i="6"/>
  <c r="E59" i="6"/>
  <c r="D59" i="8"/>
  <c r="D64" i="6"/>
  <c r="F64" i="6"/>
  <c r="E64" i="6"/>
  <c r="E59" i="8"/>
  <c r="D101" i="8"/>
  <c r="E101" i="8"/>
  <c r="D60" i="8"/>
  <c r="D65" i="6"/>
  <c r="F65" i="6"/>
  <c r="E65" i="6"/>
  <c r="E60" i="8"/>
  <c r="D60" i="6"/>
  <c r="F60" i="6"/>
  <c r="E60" i="6"/>
  <c r="C63" i="8"/>
  <c r="D22" i="6"/>
  <c r="F22" i="6"/>
  <c r="E22" i="6"/>
  <c r="D23" i="6"/>
  <c r="F23" i="6"/>
  <c r="E23" i="6"/>
  <c r="C64" i="8"/>
  <c r="D96" i="8"/>
  <c r="E96" i="8"/>
  <c r="E117" i="8"/>
  <c r="F117" i="8"/>
  <c r="D117" i="8"/>
  <c r="D68" i="8"/>
  <c r="E68" i="8"/>
  <c r="D99" i="8"/>
  <c r="E99" i="8"/>
  <c r="D30" i="6"/>
  <c r="F30" i="6"/>
  <c r="E30" i="6"/>
  <c r="D115" i="8"/>
  <c r="F115" i="8"/>
  <c r="E115" i="8"/>
  <c r="D77" i="6"/>
  <c r="F77" i="6"/>
  <c r="E77" i="6"/>
  <c r="E63" i="8"/>
  <c r="D87" i="6"/>
  <c r="F87" i="6"/>
  <c r="E87" i="6"/>
  <c r="D63" i="8"/>
  <c r="D78" i="6"/>
  <c r="F78" i="6"/>
  <c r="E78" i="6"/>
  <c r="E64" i="8"/>
  <c r="D88" i="6"/>
  <c r="F88" i="6"/>
  <c r="E88" i="6"/>
  <c r="D64" i="8"/>
</calcChain>
</file>

<file path=xl/sharedStrings.xml><?xml version="1.0" encoding="utf-8"?>
<sst xmlns="http://schemas.openxmlformats.org/spreadsheetml/2006/main" count="316" uniqueCount="234">
  <si>
    <t>Permanente</t>
  </si>
  <si>
    <t>Classificazione dei comuni</t>
  </si>
  <si>
    <t>Tariffa</t>
  </si>
  <si>
    <t>Comuni con oltre 500.000 abitanti</t>
  </si>
  <si>
    <t>euro 70,00</t>
  </si>
  <si>
    <t>Comuni con oltre 100.000 fino a 500.000 abitanti</t>
  </si>
  <si>
    <t>euro 60,00</t>
  </si>
  <si>
    <t>Comuni con oltre 30.000 fino a 100.000 abitanti</t>
  </si>
  <si>
    <t>euro 50,00</t>
  </si>
  <si>
    <t>Comuni con oltre 10.000 fino a 30.000 abitanti</t>
  </si>
  <si>
    <t>euro 40,00</t>
  </si>
  <si>
    <t>Comuni fino a 10,000 abitanti</t>
  </si>
  <si>
    <t>euro 30,00</t>
  </si>
  <si>
    <t>Temporanea</t>
  </si>
  <si>
    <t>euro 2,00</t>
  </si>
  <si>
    <t>euro 1,30</t>
  </si>
  <si>
    <t>euro 1,20</t>
  </si>
  <si>
    <t>euro 0,70</t>
  </si>
  <si>
    <t>euro 0,60</t>
  </si>
  <si>
    <t>Inserire nelle colonne "D7" e "D9" le tariffe di riferimento</t>
  </si>
  <si>
    <t>Definire nelle colonne "F7" e "F9" la percentuale di riduzione per individuare la tariffa "Zona2"</t>
  </si>
  <si>
    <t>Popolare la colonna "D" (da "D15") con le tariffe in vigore</t>
  </si>
  <si>
    <t xml:space="preserve">DIRITTI SULLE PUBBLICHE AFFISSIONI  </t>
  </si>
  <si>
    <t>D.LGS. N. 507 DEL 15.11.93   E SUCCESSIVE MODIFICAZIONI</t>
  </si>
  <si>
    <t>LEGGE 145/2018 COMMA 919</t>
  </si>
  <si>
    <t>ex-LEGGE N. 449 DEL 27.12.97 ART. 11 COMMA 10</t>
  </si>
  <si>
    <t>ex-LEGGE N. 488 DEL 23.12.99 ART. 30 COMMA 17</t>
  </si>
  <si>
    <t>EURO</t>
  </si>
  <si>
    <t>COMUNE DI CLASSE</t>
  </si>
  <si>
    <t>CAT. SPEC.</t>
  </si>
  <si>
    <t>Aumento deliberato</t>
  </si>
  <si>
    <r>
      <rPr>
        <sz val="12"/>
        <color indexed="8"/>
        <rFont val="Times New Roman"/>
        <family val="1"/>
      </rPr>
      <t xml:space="preserve">ART. 19  - </t>
    </r>
    <r>
      <rPr>
        <u/>
        <sz val="12"/>
        <color indexed="8"/>
        <rFont val="Times New Roman"/>
        <family val="1"/>
      </rPr>
      <t>TARIFFE PER CIASCUN FOGLIO DI CM. 70 x 100 O FRAZIONI</t>
    </r>
  </si>
  <si>
    <t>Superfici inferiori a mq. 1</t>
  </si>
  <si>
    <t>Superfici superiori a mq. 1</t>
  </si>
  <si>
    <t>TARIFFA PER I PRIMI 10 GG</t>
  </si>
  <si>
    <t xml:space="preserve">TARIFFA PER IL PERIODO SUCCESSIVO DI 5 GIORNI O FRAZIONE </t>
  </si>
  <si>
    <t>Manifesti di cm. 70 x  100</t>
  </si>
  <si>
    <t>70 X 100 = Fogli</t>
  </si>
  <si>
    <t>Manifesti di cm. 100 x 140</t>
  </si>
  <si>
    <t>100 X 140 = Fogli</t>
  </si>
  <si>
    <t>Manifesti di cm. 140 x 200</t>
  </si>
  <si>
    <t>140 X 200 = Fogli</t>
  </si>
  <si>
    <t>Manifesti di m. 6 x 3</t>
  </si>
  <si>
    <t>6 X 3 = Fogli</t>
  </si>
  <si>
    <t xml:space="preserve">Fino a gg.: </t>
  </si>
  <si>
    <r>
      <t xml:space="preserve">CAT.SPECIALE </t>
    </r>
    <r>
      <rPr>
        <b/>
        <sz val="8"/>
        <color indexed="8"/>
        <rFont val="Arial"/>
        <family val="2"/>
      </rPr>
      <t>Superfici inferiori a mq. 1</t>
    </r>
  </si>
  <si>
    <r>
      <t xml:space="preserve">CAT.SPECIALE </t>
    </r>
    <r>
      <rPr>
        <b/>
        <sz val="8"/>
        <color indexed="8"/>
        <rFont val="Arial"/>
        <family val="2"/>
      </rPr>
      <t>Superfici superiori a mq. 1</t>
    </r>
  </si>
  <si>
    <t>N.B.</t>
  </si>
  <si>
    <r>
      <rPr>
        <sz val="12"/>
        <color indexed="8"/>
        <rFont val="Wingdings"/>
        <charset val="2"/>
      </rPr>
      <t>§</t>
    </r>
    <r>
      <rPr>
        <sz val="12"/>
        <color indexed="8"/>
        <rFont val="Times New Roman"/>
        <family val="1"/>
      </rPr>
      <t>Per ogni commissione inferiore a cinquanta fogli il diritto è maggiorato del 50%</t>
    </r>
  </si>
  <si>
    <r>
      <rPr>
        <sz val="12"/>
        <color indexed="8"/>
        <rFont val="Wingdings"/>
        <charset val="2"/>
      </rPr>
      <t>§</t>
    </r>
    <r>
      <rPr>
        <sz val="12"/>
        <color indexed="8"/>
        <rFont val="Times New Roman"/>
        <family val="1"/>
      </rPr>
      <t xml:space="preserve">Per i manifesti costituiti da otto fino a dodici fogli il diritto è maggiorato del 50% </t>
    </r>
  </si>
  <si>
    <r>
      <rPr>
        <sz val="12"/>
        <color indexed="8"/>
        <rFont val="Wingdings"/>
        <charset val="2"/>
      </rPr>
      <t>§</t>
    </r>
    <r>
      <rPr>
        <sz val="12"/>
        <color indexed="8"/>
        <rFont val="Times New Roman"/>
        <family val="1"/>
      </rPr>
      <t>Per i manifesti costituiti da più di dodici fogli il diritto è maggiorato del 100%</t>
    </r>
  </si>
  <si>
    <t>ART. 22 – DIRITTI DI URGENZA                                       L. 50.000</t>
  </si>
  <si>
    <t xml:space="preserve">N.B.: nel periodo dal 01.06 al  30.09  dovrà  essere applicata la maggiorazione del    50%                                                                                 
per aumento stagionale esclusivamente sui  diritti per le pubbliche affissioni ed imposta sulla pubblicità temporanea. </t>
  </si>
  <si>
    <t xml:space="preserve">IMPOSTA SULLA PUBBLICITA'  </t>
  </si>
  <si>
    <t>(superfici SUPERIORI al mq)</t>
  </si>
  <si>
    <t>Aumento per luminosa</t>
  </si>
  <si>
    <r>
      <rPr>
        <sz val="12"/>
        <color indexed="8"/>
        <rFont val="Times New Roman"/>
        <family val="1"/>
      </rPr>
      <t xml:space="preserve">ART. 12 – </t>
    </r>
    <r>
      <rPr>
        <u/>
        <sz val="12"/>
        <color indexed="8"/>
        <rFont val="Times New Roman"/>
        <family val="1"/>
      </rPr>
      <t>TARIFFA PREVISTA PER OGNI MQ. E  PER OGNI ANNO SOLARE</t>
    </r>
  </si>
  <si>
    <t>TIPO</t>
  </si>
  <si>
    <t>1mese o frazione</t>
  </si>
  <si>
    <t>2mesi o frazione</t>
  </si>
  <si>
    <t>3 mesi o frazione</t>
  </si>
  <si>
    <t>1 ANNO</t>
  </si>
  <si>
    <t>Aumento per mq</t>
  </si>
  <si>
    <t>ORDINARIA Superfici fino a mq. 1</t>
  </si>
  <si>
    <t xml:space="preserve">ORDINARIA Superfici comprese tra mq. 1,01 e 5,50 </t>
  </si>
  <si>
    <t xml:space="preserve">ORDINARIA Superfici comprese tra mq. 5,50 e mq. 8,50 </t>
  </si>
  <si>
    <t>ORDINARIA Superfici superiori a mq. 8,50</t>
  </si>
  <si>
    <t>LUMINOSA Superfici fino a mq. 1</t>
  </si>
  <si>
    <t xml:space="preserve">LUMINOSA Superfici comprese tra mq. 1,01 e 5,50 </t>
  </si>
  <si>
    <t xml:space="preserve">LUMINOSA Superfici comprese tra mq. 5,50 e mq. 8,50 </t>
  </si>
  <si>
    <t>LUMINOSA Superfici superiori a mq. 8,50</t>
  </si>
  <si>
    <t>CATEGORIA SPECIALE</t>
  </si>
  <si>
    <t xml:space="preserve"> </t>
  </si>
  <si>
    <t>N.B. :</t>
  </si>
  <si>
    <r>
      <rPr>
        <sz val="10"/>
        <color indexed="8"/>
        <rFont val="Wingdings"/>
        <charset val="2"/>
      </rPr>
      <t>§</t>
    </r>
    <r>
      <rPr>
        <sz val="10"/>
        <color indexed="8"/>
        <rFont val="Times New Roman"/>
        <family val="1"/>
      </rPr>
      <t>Per la pubblicità che abbia superficie compresa tra mq. 5,5, e 8,5 la tariffa di cui sopra è maggiorata del 50%</t>
    </r>
  </si>
  <si>
    <r>
      <rPr>
        <sz val="10"/>
        <color indexed="8"/>
        <rFont val="Wingdings"/>
        <charset val="2"/>
      </rPr>
      <t>§</t>
    </r>
    <r>
      <rPr>
        <sz val="10"/>
        <color indexed="8"/>
        <rFont val="Times New Roman"/>
        <family val="1"/>
      </rPr>
      <t>Per la pubblicità che abbia superficie superiore a mq. 8,5 la tariffa di cui sopra è maggiorata del 100%</t>
    </r>
  </si>
  <si>
    <t>Tali maggiorazioni si applicano sempre sulla tariffa base.</t>
  </si>
  <si>
    <r>
      <rPr>
        <sz val="12"/>
        <color indexed="8"/>
        <rFont val="Times New Roman"/>
        <family val="1"/>
      </rPr>
      <t xml:space="preserve">ART. 13 – </t>
    </r>
    <r>
      <rPr>
        <u/>
        <sz val="12"/>
        <color indexed="8"/>
        <rFont val="Times New Roman"/>
        <family val="1"/>
      </rPr>
      <t>TARIFFA ANNUALE PER AUTOMEZZI PUBBLICITARI ADIBITI AI TRASPORTI DELLA     AZIENDA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</si>
  <si>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AUTOVEICOLI CON PORTATA SUPERIORE A 30 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</si>
  <si>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RIMORCHI CON  PORTATA SUPERIORE A 30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</si>
  <si>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AUTOVEICOLI CON PORTATA INFERIORE A 30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</si>
  <si>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RIMORCHI CON PORTATA INFERIORE A 30 q.li</t>
    </r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</si>
  <si>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MOTOVEICOLI E VEICOLI  NON COMPRESI NELLE PRECEDENTI CATEGORIE</t>
    </r>
  </si>
  <si>
    <r>
      <rPr>
        <sz val="12"/>
        <color indexed="8"/>
        <rFont val="Times New Roman"/>
        <family val="1"/>
      </rPr>
      <t xml:space="preserve">ART. 14 – </t>
    </r>
    <r>
      <rPr>
        <u/>
        <sz val="12"/>
        <color indexed="8"/>
        <rFont val="Times New Roman"/>
        <family val="1"/>
      </rPr>
      <t>TARIFFA PER LA PUBBLICITA’ EFFETTUATA CON PANNELLI LUMINOSI</t>
    </r>
  </si>
  <si>
    <t xml:space="preserve">                  (per ogni metro quadrato di superficie dello schermo o pannello)</t>
  </si>
  <si>
    <t>Superfici fino a mq. 1</t>
  </si>
  <si>
    <t>SPECIALE Superfici fino a mq. 1</t>
  </si>
  <si>
    <t xml:space="preserve">SPECIALE Superfici comprese tra mq. 1,01 e 5,50 </t>
  </si>
  <si>
    <t xml:space="preserve">SPECIALE Superfici comprese tra mq. 5,50 e mq. 8,50 </t>
  </si>
  <si>
    <t>SPECIALE Superfici superiori a mq. 8,50</t>
  </si>
  <si>
    <r>
      <rPr>
        <sz val="12"/>
        <color indexed="8"/>
        <rFont val="Times New Roman"/>
        <family val="1"/>
      </rPr>
      <t xml:space="preserve">ART. 14 </t>
    </r>
    <r>
      <rPr>
        <u/>
        <sz val="12"/>
        <color indexed="8"/>
        <rFont val="Times New Roman"/>
        <family val="1"/>
      </rPr>
      <t>– TARIFFA PER LA PUBBLICITA’ EFFETTUATA ATTRAVERSO PROIEZIONI</t>
    </r>
    <r>
      <rPr>
        <sz val="12"/>
        <color indexed="8"/>
        <rFont val="Times New Roman"/>
        <family val="1"/>
      </rPr>
      <t xml:space="preserve"> </t>
    </r>
  </si>
  <si>
    <t xml:space="preserve">                (in luoghi pubblici o aperti al pubblico)</t>
  </si>
  <si>
    <t xml:space="preserve">               </t>
  </si>
  <si>
    <r>
      <rPr>
        <sz val="12"/>
        <color indexed="8"/>
        <rFont val="Wingdings"/>
        <charset val="2"/>
      </rPr>
      <t>;</t>
    </r>
    <r>
      <rPr>
        <sz val="12"/>
        <color indexed="8"/>
        <rFont val="Times New Roman"/>
        <family val="1"/>
      </rPr>
      <t>Per ogni giorno di esecuzione	-	categoria normale</t>
    </r>
  </si>
  <si>
    <r>
      <rPr>
        <b/>
        <sz val="12"/>
        <color indexed="8"/>
        <rFont val="Wingdings"/>
        <charset val="2"/>
      </rPr>
      <t>;</t>
    </r>
    <r>
      <rPr>
        <b/>
        <sz val="12"/>
        <color indexed="8"/>
        <rFont val="Times New Roman"/>
        <family val="1"/>
      </rPr>
      <t>Per ogni giorno di esecuzione	-	categoria speciale</t>
    </r>
  </si>
  <si>
    <r>
      <rPr>
        <sz val="12"/>
        <color indexed="8"/>
        <rFont val="Times New Roman"/>
        <family val="1"/>
      </rPr>
      <t xml:space="preserve">ART. 15 – </t>
    </r>
    <r>
      <rPr>
        <u/>
        <sz val="12"/>
        <color indexed="8"/>
        <rFont val="Times New Roman"/>
        <family val="1"/>
      </rPr>
      <t>TARIFFA PREVISTA PER OGNI MQ. PER LA PUBBLICITA’ EFFETTUATA CON STRISCIONI O ALTRI MEZZI SIMILARI CHE ATTRAVERSANO STRADE O PIAZZE</t>
    </r>
  </si>
  <si>
    <t>Fino a 15 gg</t>
  </si>
  <si>
    <t>Fino a 30 gg</t>
  </si>
  <si>
    <t>Fino a 45 gg</t>
  </si>
  <si>
    <t>Fino a 60gg</t>
  </si>
  <si>
    <t>Fino a mq. 1</t>
  </si>
  <si>
    <t xml:space="preserve"> ART. 15 </t>
  </si>
  <si>
    <r>
      <rPr>
        <u/>
        <sz val="12"/>
        <color indexed="8"/>
        <rFont val="Wingdings"/>
        <charset val="2"/>
      </rPr>
      <t>;</t>
    </r>
    <r>
      <rPr>
        <u/>
        <sz val="12"/>
        <color indexed="8"/>
        <rFont val="Times New Roman"/>
        <family val="1"/>
      </rPr>
      <t>PUBBLICITA’ EFFETTUATA CON AEROMOBILI MEDIANTE SCRITTE, STRISCIONI, LANCIO MANIFESTINI, ECC.</t>
    </r>
  </si>
  <si>
    <t>Tariffa al giorno</t>
  </si>
  <si>
    <r>
      <rPr>
        <u/>
        <sz val="12"/>
        <color indexed="8"/>
        <rFont val="Wingdings"/>
        <charset val="2"/>
      </rPr>
      <t>;</t>
    </r>
    <r>
      <rPr>
        <u/>
        <sz val="12"/>
        <color indexed="8"/>
        <rFont val="Times New Roman"/>
        <family val="1"/>
      </rPr>
      <t>PUBBLICITA’ ESEGUITA CON PALLONI FRENANTI E SIMILI</t>
    </r>
  </si>
  <si>
    <r>
      <rPr>
        <u/>
        <sz val="12"/>
        <color indexed="8"/>
        <rFont val="Wingdings"/>
        <charset val="2"/>
      </rPr>
      <t>;</t>
    </r>
    <r>
      <rPr>
        <u/>
        <sz val="12"/>
        <color indexed="8"/>
        <rFont val="Times New Roman"/>
        <family val="1"/>
      </rPr>
      <t>PUBBLICITA’ EFFETTUATA MEDIANTE DISTRIBUZIONE, ANCHE CON VEICOLI DI MANIFESTINI OD ALTRO MATERIALE PUBBLICITARIO OPPURE MEDIANTE PERSONE CIRCOLANTI CON CARTELLI</t>
    </r>
  </si>
  <si>
    <t>Tariffa al giorno e per ogni persona impiegata</t>
  </si>
  <si>
    <t>CAT.SPECIALE Tariffa al giorno e per ogni persona impiegata</t>
  </si>
  <si>
    <r>
      <rPr>
        <u/>
        <sz val="12"/>
        <color indexed="8"/>
        <rFont val="Wingdings"/>
        <charset val="2"/>
      </rPr>
      <t>;</t>
    </r>
    <r>
      <rPr>
        <u/>
        <sz val="12"/>
        <color indexed="8"/>
        <rFont val="Times New Roman"/>
        <family val="1"/>
      </rPr>
      <t>PUBBLICITA’ EFFETTUATA A MEZZO APPARECCHI AMPLIFICATORI E SIMILI (sonora)</t>
    </r>
  </si>
  <si>
    <t>Tariffa al giorno e per ciascun punto di pubblicità</t>
  </si>
  <si>
    <t>CAT.SPECIALE Tariffa al giorno e per ciascun punto di pubblicità</t>
  </si>
  <si>
    <t>Comune di Portoferraio</t>
  </si>
  <si>
    <t>categoria</t>
  </si>
  <si>
    <t>IV</t>
  </si>
  <si>
    <t>inserire classe</t>
  </si>
  <si>
    <t>aumento sup mq</t>
  </si>
  <si>
    <t>inserire aumento</t>
  </si>
  <si>
    <t>categoria speciale</t>
  </si>
  <si>
    <t>inserire cat spec</t>
  </si>
  <si>
    <t>PERMANENTE</t>
  </si>
  <si>
    <t>TARIFFA STANDARD ZONA 1</t>
  </si>
  <si>
    <t>TEMPORANEA</t>
  </si>
  <si>
    <t>attenzione una volta insertita la classe inserire manualmente la tariffa standard come da info</t>
  </si>
  <si>
    <r>
      <rPr>
        <sz val="10"/>
        <color indexed="8"/>
        <rFont val="Georgia 2"/>
      </rPr>
      <t>T</t>
    </r>
    <r>
      <rPr>
        <sz val="8"/>
        <color indexed="8"/>
        <rFont val="Georgia 2"/>
      </rPr>
      <t xml:space="preserve">IPOLOGIA E </t>
    </r>
    <r>
      <rPr>
        <sz val="10"/>
        <color indexed="8"/>
        <rFont val="Georgia 2"/>
      </rPr>
      <t>S</t>
    </r>
    <r>
      <rPr>
        <sz val="8"/>
        <color indexed="8"/>
        <rFont val="Georgia 2"/>
      </rPr>
      <t>UPERFICI</t>
    </r>
  </si>
  <si>
    <t>GG</t>
  </si>
  <si>
    <t>Tariffe 2009</t>
  </si>
  <si>
    <t>Tariffe 2020</t>
  </si>
  <si>
    <t>Tariffe 2021</t>
  </si>
  <si>
    <t>Coefficiente</t>
  </si>
  <si>
    <t>CATEGORIA NORMALE OPACA</t>
  </si>
  <si>
    <t>1,00 mq</t>
  </si>
  <si>
    <t>&gt; 1,00 = 5,00 MQ</t>
  </si>
  <si>
    <t>&gt;5,01 MQ = 8,00 MQ</t>
  </si>
  <si>
    <t>&gt;8,01 MQ</t>
  </si>
  <si>
    <t>CATEGORIA NORMALE LUMINOSA</t>
  </si>
  <si>
    <t>&gt; 1,00  = 5,00 MQ</t>
  </si>
  <si>
    <t>DIFFUSIONI VARIE</t>
  </si>
  <si>
    <t>VOLANTINAGGIO CN</t>
  </si>
  <si>
    <t>SONORA CN</t>
  </si>
  <si>
    <t>STRISCIONI  1,00 MQ CN</t>
  </si>
  <si>
    <t>STRISCIONI &gt; 1,00 = 5,00 MQ CN</t>
  </si>
  <si>
    <t>STRISCIONI  &gt;5,01 MQ = 8,00 MQ CN</t>
  </si>
  <si>
    <t>STRISCIONI  &gt;8,01 MQ CN</t>
  </si>
  <si>
    <t>Pubbl.visiva effettauta per conto proprio o altrui all'esterno /interno dei veicoli adibiti a uso pubblico o a uso privato   mq.</t>
  </si>
  <si>
    <t>Pubbl.visiva effettauta per conto proprio o altrui all'esterno /interno di veicoli,con i cosiddeti camion vela  mq.</t>
  </si>
  <si>
    <t xml:space="preserve">Pannelli luminosi  fino a 1,00 MQ CN </t>
  </si>
  <si>
    <t xml:space="preserve">Pannelli luminosi  fino a 5,00 MQ CN </t>
  </si>
  <si>
    <t xml:space="preserve">Pannelli luminosi  &gt;5,01 MQ = 8,00 MQ CN </t>
  </si>
  <si>
    <t xml:space="preserve">Pannelli luminosi  &gt;8,01 MQ CN </t>
  </si>
  <si>
    <t xml:space="preserve">Pannelli luminosi in proprio  fino a 1,00 MQ CN </t>
  </si>
  <si>
    <t xml:space="preserve">Pannelli luminosi in proprio  fino a 5,00 MQ CN </t>
  </si>
  <si>
    <t xml:space="preserve">Pannelli luminosi in proprio  &gt;5,01 MQ = 8,00 MQ CN </t>
  </si>
  <si>
    <t xml:space="preserve">Pannelli luminosi in proprio  &gt;8,01 MQ CN </t>
  </si>
  <si>
    <t>Proiezioni/diap. CN</t>
  </si>
  <si>
    <t>Aeromobili</t>
  </si>
  <si>
    <t>Palloni frenati</t>
  </si>
  <si>
    <t>DIRITTI PUBBLICHE AFFISSIONI</t>
  </si>
  <si>
    <t>Manif 1 mq gg 10 CN</t>
  </si>
  <si>
    <t>Manif 1 mq gg 10  CS</t>
  </si>
  <si>
    <t>5 GG  succ. CN 1 MQ</t>
  </si>
  <si>
    <t>5 GG  succ. CS 1 MQ</t>
  </si>
  <si>
    <t>Manif &gt; 1 mq  gg10  CN</t>
  </si>
  <si>
    <t>Manif &gt; 1 mq  gg10  CS</t>
  </si>
  <si>
    <t>5 GG succ. CN &gt; 1 MQ</t>
  </si>
  <si>
    <t>5 GG succ.  CS &gt; 1 MQ</t>
  </si>
  <si>
    <t>Locandine CN</t>
  </si>
  <si>
    <t xml:space="preserve">CARTELLI TEMPORANEA </t>
  </si>
  <si>
    <t>CARTELLI  IN FORMA OPACA</t>
  </si>
  <si>
    <t>CARTELLI  FINO A 1      CN</t>
  </si>
  <si>
    <t>CARTELLI  FINO A 5     CN</t>
  </si>
  <si>
    <t>CARTELLI DA 5,01 A 8   CN</t>
  </si>
  <si>
    <t>CARTELLI SUP 8   CN</t>
  </si>
  <si>
    <t>CARTELLI  FINO A 1   CN</t>
  </si>
  <si>
    <t>CARTELLI  FINO A 51    CN</t>
  </si>
  <si>
    <t>CARTELLI IN FORMA LUMINOSA</t>
  </si>
  <si>
    <t>CARTELLI  FINO A 1     CN</t>
  </si>
  <si>
    <t>CARTELLI  FINO A 1    CN</t>
  </si>
  <si>
    <t>COMUNE DI  Portoferraio
TARIFFE STANDARD PER CIASCUN FOGLIO DI CM. 70x100 O FRAZIONI</t>
  </si>
  <si>
    <t>TARIFFA GIORNALIERA STANDARD</t>
  </si>
  <si>
    <t>FINO A GIORNI O FRAZIONE</t>
  </si>
  <si>
    <t>superfici inferiori a mq.1</t>
  </si>
  <si>
    <t>coefficente</t>
  </si>
  <si>
    <t xml:space="preserve">                                    superfici superiori a mq.1 </t>
  </si>
  <si>
    <t>MANIFESTI DI CM. 70x100 oppure 100x70</t>
  </si>
  <si>
    <t>FOGLI</t>
  </si>
  <si>
    <t>MANIFESTI DI CM. 100x140 oppure 140x100</t>
  </si>
  <si>
    <t>MANIFESTI DI CM. 140x200 oppure 200X140</t>
  </si>
  <si>
    <t>MANIFESTI DI M. 6x3</t>
  </si>
  <si>
    <t>NB:</t>
  </si>
  <si>
    <t>PER OGNI COMMISSIONE INFERIORE A 50 FOGLI IL CANONE E' MAGGIORATO DEL 50%</t>
  </si>
  <si>
    <t>PER I MANIFESTI COSTITUITI DA OTTO FINO A DODICI FOGLI IL CANONE E' MAGGIORATO DEL 50%</t>
  </si>
  <si>
    <t>PER I MANIFESTI COSTITUITI DA PIU' DI DODICI FOGLI IL CANONE E' MAGGIORATO DEL 100%</t>
  </si>
  <si>
    <t>Per l’esecuzione del servizio di affissione richiesto per il giorno in cui è stato consegnato il</t>
  </si>
  <si>
    <t>materiale da affiggere o entro i due giorni successivi,  ovvero per le ore notturne dalle 20 alle</t>
  </si>
  <si>
    <t>07,00, o nei giorni festivi, è dovuta la maggiorazione del 10 per cento del  canone, con un minimo</t>
  </si>
  <si>
    <t>di Euro 30,00 per ciascuna commissione.</t>
  </si>
  <si>
    <r>
      <rPr>
        <sz val="10"/>
        <color indexed="8"/>
        <rFont val="Georgia"/>
        <family val="1"/>
      </rPr>
      <t>T</t>
    </r>
    <r>
      <rPr>
        <sz val="8"/>
        <color indexed="8"/>
        <rFont val="Georgia"/>
        <family val="1"/>
      </rPr>
      <t xml:space="preserve">IPOLOGIA E </t>
    </r>
    <r>
      <rPr>
        <sz val="10"/>
        <color indexed="8"/>
        <rFont val="Georgia"/>
        <family val="1"/>
      </rPr>
      <t>S</t>
    </r>
    <r>
      <rPr>
        <sz val="8"/>
        <color indexed="8"/>
        <rFont val="Georgia"/>
        <family val="1"/>
      </rPr>
      <t>UPERFICI</t>
    </r>
    <r>
      <rPr>
        <sz val="10"/>
        <color indexed="8"/>
        <rFont val="Georgia"/>
        <family val="1"/>
      </rPr>
      <t>T</t>
    </r>
    <r>
      <rPr>
        <sz val="8"/>
        <color indexed="8"/>
        <rFont val="Georgia"/>
        <family val="1"/>
      </rPr>
      <t xml:space="preserve">IPOLOGIA E </t>
    </r>
    <r>
      <rPr>
        <sz val="10"/>
        <color indexed="8"/>
        <rFont val="Georgia"/>
        <family val="1"/>
      </rPr>
      <t>S</t>
    </r>
    <r>
      <rPr>
        <sz val="8"/>
        <color indexed="8"/>
        <rFont val="Georgia"/>
        <family val="1"/>
      </rPr>
      <t>UPERFICI</t>
    </r>
    <r>
      <rPr>
        <sz val="10"/>
        <color indexed="8"/>
        <rFont val="Georgia"/>
        <family val="1"/>
      </rPr>
      <t>T</t>
    </r>
    <r>
      <rPr>
        <sz val="8"/>
        <color indexed="8"/>
        <rFont val="Georgia"/>
        <family val="1"/>
      </rPr>
      <t xml:space="preserve">IPOLOGIA E </t>
    </r>
    <r>
      <rPr>
        <sz val="10"/>
        <color indexed="8"/>
        <rFont val="Georgia"/>
        <family val="1"/>
      </rPr>
      <t>S</t>
    </r>
    <r>
      <rPr>
        <sz val="8"/>
        <color indexed="8"/>
        <rFont val="Georgia"/>
        <family val="1"/>
      </rPr>
      <t>UPERFICI</t>
    </r>
  </si>
  <si>
    <r>
      <t>Tariffe 2008</t>
    </r>
    <r>
      <rPr>
        <sz val="10"/>
        <color indexed="8"/>
        <rFont val="Georgia"/>
        <family val="1"/>
      </rPr>
      <t>Tariffe 2008Tariffe 2008</t>
    </r>
  </si>
  <si>
    <r>
      <t>Tariffe 2009</t>
    </r>
    <r>
      <rPr>
        <sz val="10"/>
        <color indexed="8"/>
        <rFont val="Georgia"/>
        <family val="1"/>
      </rPr>
      <t>Tariffe 2009Tariffe 2009</t>
    </r>
  </si>
  <si>
    <t>CATEGORIA NORMALE ORDINARIACATEGORIA NORMALE ORDINARIACATEGORIA NORMALE ORDINARIA</t>
  </si>
  <si>
    <r>
      <t>1 MQ</t>
    </r>
    <r>
      <rPr>
        <sz val="10"/>
        <color indexed="8"/>
        <rFont val="Georgia"/>
        <family val="1"/>
      </rPr>
      <t>1 MQ1 MQ</t>
    </r>
  </si>
  <si>
    <r>
      <t>&gt; 1 MQ</t>
    </r>
    <r>
      <rPr>
        <sz val="10"/>
        <color indexed="8"/>
        <rFont val="Georgia"/>
        <family val="1"/>
      </rPr>
      <t>&gt; 1 MQ&gt; 1 MQ</t>
    </r>
  </si>
  <si>
    <r>
      <t>&gt;5,51mq &lt;8,50</t>
    </r>
    <r>
      <rPr>
        <sz val="10"/>
        <color indexed="8"/>
        <rFont val="Georgia"/>
        <family val="1"/>
      </rPr>
      <t>&gt;5,51mq &lt;8,50&gt;5,51mq &lt;8,50</t>
    </r>
  </si>
  <si>
    <r>
      <t>&gt;8,51 MQ</t>
    </r>
    <r>
      <rPr>
        <sz val="10"/>
        <color indexed="8"/>
        <rFont val="Georgia"/>
        <family val="1"/>
      </rPr>
      <t>&gt;8,51 MQ&gt;8,51 MQ</t>
    </r>
  </si>
  <si>
    <t>CATEGORIA NORMALE LUMINOSACATEGORIA NORMALE LUMINOSACATEGORIA NORMALE LUMINOSA</t>
  </si>
  <si>
    <r>
      <t>&gt;5,51MQ&lt;8,50</t>
    </r>
    <r>
      <rPr>
        <sz val="10"/>
        <color indexed="8"/>
        <rFont val="Georgia"/>
        <family val="1"/>
      </rPr>
      <t>&gt;5,51MQ&lt;8,50&gt;5,51MQ&lt;8,50</t>
    </r>
  </si>
  <si>
    <t>CATEGORIA SPECIALE ORDINARIACATEGORIA SPECIALE ORDINARIACATEGORIA SPECIALE ORDINARIA</t>
  </si>
  <si>
    <r>
      <t>&gt;1 MQ</t>
    </r>
    <r>
      <rPr>
        <sz val="10"/>
        <color indexed="8"/>
        <rFont val="Georgia"/>
        <family val="1"/>
      </rPr>
      <t>&gt;1 MQ&gt;1 MQ</t>
    </r>
  </si>
  <si>
    <t>CATEGORIA SPECIALE LUMINOSACATEGORIA SPECIALE LUMINOSA</t>
  </si>
  <si>
    <r>
      <t>1 MQ</t>
    </r>
    <r>
      <rPr>
        <sz val="10"/>
        <color indexed="8"/>
        <rFont val="Georgia"/>
        <family val="1"/>
      </rPr>
      <t>1 MQ</t>
    </r>
  </si>
  <si>
    <r>
      <t>&gt;1MQ</t>
    </r>
    <r>
      <rPr>
        <sz val="10"/>
        <color indexed="8"/>
        <rFont val="Georgia"/>
        <family val="1"/>
      </rPr>
      <t>&gt;1MQ</t>
    </r>
  </si>
  <si>
    <r>
      <t>&gt;5,51MQ&lt;8,50</t>
    </r>
    <r>
      <rPr>
        <sz val="10"/>
        <color indexed="8"/>
        <rFont val="Georgia"/>
        <family val="1"/>
      </rPr>
      <t>&gt;5,51MQ&lt;8,50</t>
    </r>
  </si>
  <si>
    <r>
      <t>&gt;8,51MQ</t>
    </r>
    <r>
      <rPr>
        <sz val="10"/>
        <color indexed="8"/>
        <rFont val="Georgia"/>
        <family val="1"/>
      </rPr>
      <t>&gt;8,51MQ</t>
    </r>
  </si>
  <si>
    <t>PUBBLICITA' VARIEPUBBLICITA' VARIE</t>
  </si>
  <si>
    <r>
      <t>VOLANTINAGGIO</t>
    </r>
    <r>
      <rPr>
        <sz val="10"/>
        <color indexed="8"/>
        <rFont val="Georgia"/>
        <family val="1"/>
      </rPr>
      <t>VOLANTINAGGIO</t>
    </r>
  </si>
  <si>
    <r>
      <t>SONORA</t>
    </r>
    <r>
      <rPr>
        <sz val="10"/>
        <color indexed="8"/>
        <rFont val="Georgia"/>
        <family val="1"/>
      </rPr>
      <t>SONORA</t>
    </r>
  </si>
  <si>
    <r>
      <t>STRISCIONI al mq CN</t>
    </r>
    <r>
      <rPr>
        <sz val="10"/>
        <color indexed="8"/>
        <rFont val="Georgia"/>
        <family val="1"/>
      </rPr>
      <t>STRISCIONI al mq CN</t>
    </r>
  </si>
  <si>
    <r>
      <t>STRISCIONI al mq CS</t>
    </r>
    <r>
      <rPr>
        <sz val="10"/>
        <color indexed="8"/>
        <rFont val="Georgia"/>
        <family val="1"/>
      </rPr>
      <t>STRISCIONI al mq CS</t>
    </r>
  </si>
  <si>
    <r>
      <t>AUTOMEZZI inf 30 q.li</t>
    </r>
    <r>
      <rPr>
        <sz val="10"/>
        <color indexed="8"/>
        <rFont val="Georgia"/>
        <family val="1"/>
      </rPr>
      <t>AUTOMEZZI inf 30 q.li</t>
    </r>
  </si>
  <si>
    <r>
      <t>AUTOMEZZI sup 30 q.li</t>
    </r>
    <r>
      <rPr>
        <sz val="10"/>
        <color indexed="8"/>
        <rFont val="Georgia"/>
        <family val="1"/>
      </rPr>
      <t>AUTOMEZZI sup 30 q.li</t>
    </r>
  </si>
  <si>
    <r>
      <t>MOTOVEICOLI</t>
    </r>
    <r>
      <rPr>
        <sz val="10"/>
        <color indexed="8"/>
        <rFont val="Georgia"/>
        <family val="1"/>
      </rPr>
      <t>MOTOVEICOLI</t>
    </r>
  </si>
  <si>
    <r>
      <t>RIMORCHI inf 30 q.li</t>
    </r>
    <r>
      <rPr>
        <sz val="10"/>
        <color indexed="8"/>
        <rFont val="Georgia"/>
        <family val="1"/>
      </rPr>
      <t>RIMORCHI inf 30 q.li</t>
    </r>
  </si>
  <si>
    <r>
      <t>RIMORCHI sup 30 q.li</t>
    </r>
    <r>
      <rPr>
        <sz val="10"/>
        <color indexed="8"/>
        <rFont val="Georgia"/>
        <family val="1"/>
      </rPr>
      <t>RIMORCHI sup 30 q.li</t>
    </r>
  </si>
  <si>
    <r>
      <t>Pubbl.veic./interna 1 mq</t>
    </r>
    <r>
      <rPr>
        <sz val="10"/>
        <color indexed="8"/>
        <rFont val="Georgia"/>
        <family val="1"/>
      </rPr>
      <t>Pubbl.veic./interna 1 mq</t>
    </r>
  </si>
  <si>
    <t>Pubbl.veic./esterna 1mq</t>
  </si>
  <si>
    <t>Pubbl.veic./esterna&gt;1mq</t>
  </si>
  <si>
    <t>Pubbl.veic./esterna&gt;5,51 mq &lt;8,50</t>
  </si>
  <si>
    <t>Pubbl.veic./esterna&gt;8.50 mq</t>
  </si>
  <si>
    <t>Pannelli luminosi  CN 1 MQ</t>
  </si>
  <si>
    <t>Pannelli luminosi  CS 1 MQ</t>
  </si>
  <si>
    <t>Pannelli lum. in proprio CN 1 MQ</t>
  </si>
  <si>
    <t>Pannelli lum. in proprio  CS 1 MQ</t>
  </si>
  <si>
    <t>Proiezioni/diap. CS</t>
  </si>
  <si>
    <r>
      <rPr>
        <sz val="12"/>
        <color indexed="8"/>
        <rFont val="Georgia"/>
        <family val="1"/>
      </rPr>
      <t xml:space="preserve">- </t>
    </r>
    <r>
      <rPr>
        <sz val="9"/>
        <color indexed="10"/>
        <rFont val="Georgia"/>
        <family val="1"/>
      </rPr>
      <t xml:space="preserve">Per le tariffe riportate in rosso non è possibile </t>
    </r>
    <r>
      <rPr>
        <sz val="9"/>
        <color indexed="10"/>
        <rFont val="Georgia"/>
        <family val="1"/>
      </rPr>
      <t>l’applicazione della riduzione (Legge 488/99)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</si>
</sst>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0.00;[Red]0.00"/>
    <numFmt numFmtId="166" formatCode="[$-410]General"/>
    <numFmt numFmtId="167" formatCode="[$€-410]&quot; &quot;#,##0.00;[Red]&quot;-&quot;[$€-410]&quot; &quot;#,##0.00"/>
    <numFmt numFmtId="168" formatCode="0.000"/>
    <numFmt numFmtId="169" formatCode="&quot;€&quot;\ #,##0.00"/>
  </numFmts>
  <fonts count="59">
    <font>
      <sz val="11"/>
      <color theme="1"/>
      <name val="Arial"/>
      <family val="2"/>
    </font>
    <font>
      <sz val="10"/>
      <color indexed="8"/>
      <name val="Georgia"/>
      <family val="1"/>
    </font>
    <font>
      <sz val="8"/>
      <color indexed="8"/>
      <name val="Georgia"/>
      <family val="1"/>
    </font>
    <font>
      <sz val="12"/>
      <color indexed="8"/>
      <name val="Georgia"/>
      <family val="1"/>
    </font>
    <font>
      <sz val="9"/>
      <color indexed="10"/>
      <name val="Georgia"/>
      <family val="1"/>
    </font>
    <font>
      <sz val="10"/>
      <color indexed="8"/>
      <name val="Georgia 2"/>
    </font>
    <font>
      <sz val="8"/>
      <color indexed="8"/>
      <name val="Georgia 2"/>
    </font>
    <font>
      <sz val="10"/>
      <color indexed="8"/>
      <name val="Times New Roman"/>
      <family val="1"/>
    </font>
    <font>
      <sz val="10"/>
      <name val="Georgia 2"/>
    </font>
    <font>
      <sz val="10"/>
      <name val="Times New Roman"/>
      <family val="1"/>
    </font>
    <font>
      <sz val="9"/>
      <name val="Georgia 2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20"/>
      <color indexed="8"/>
      <name val="Arial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2"/>
      <color indexed="8"/>
      <name val="Wingdings"/>
      <charset val="2"/>
    </font>
    <font>
      <i/>
      <sz val="10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Wingdings"/>
      <charset val="2"/>
    </font>
    <font>
      <b/>
      <u/>
      <sz val="6"/>
      <color indexed="8"/>
      <name val="Arial"/>
      <family val="2"/>
    </font>
    <font>
      <b/>
      <sz val="12"/>
      <color indexed="8"/>
      <name val="Wingdings"/>
      <charset val="2"/>
    </font>
    <font>
      <b/>
      <sz val="12"/>
      <color indexed="8"/>
      <name val="Times New Roman"/>
      <family val="1"/>
    </font>
    <font>
      <sz val="8"/>
      <name val="Arial"/>
      <family val="2"/>
    </font>
    <font>
      <u/>
      <sz val="12"/>
      <color indexed="8"/>
      <name val="Wingdings"/>
      <charset val="2"/>
    </font>
    <font>
      <b/>
      <sz val="10"/>
      <name val="Georgia 2"/>
    </font>
    <font>
      <b/>
      <sz val="11"/>
      <name val="Georgia 2"/>
    </font>
    <font>
      <b/>
      <u/>
      <sz val="11"/>
      <name val="Georgia 2"/>
    </font>
    <font>
      <b/>
      <sz val="18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sz val="10"/>
      <color rgb="FF000000"/>
      <name val="Georgia1"/>
    </font>
    <font>
      <sz val="9"/>
      <color rgb="FF000000"/>
      <name val="Georgia2"/>
    </font>
    <font>
      <sz val="11"/>
      <color rgb="FF000000"/>
      <name val="Georgia1"/>
    </font>
    <font>
      <sz val="10"/>
      <color rgb="FF000000"/>
      <name val="Times New Roman1"/>
    </font>
    <font>
      <sz val="10"/>
      <color rgb="FF000000"/>
      <name val="Georgia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8"/>
      <color rgb="FF000000"/>
      <name val="Georgia2"/>
    </font>
    <font>
      <sz val="10"/>
      <color rgb="FF000000"/>
      <name val="Georgia 2"/>
    </font>
    <font>
      <b/>
      <sz val="10"/>
      <color rgb="FF000000"/>
      <name val="Georgia 2"/>
    </font>
    <font>
      <b/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0000"/>
      <name val="Georgia2"/>
    </font>
    <font>
      <sz val="11"/>
      <color rgb="FF0000FF"/>
      <name val="Georgia"/>
      <family val="1"/>
    </font>
    <font>
      <sz val="11"/>
      <color rgb="FFFF00FF"/>
      <name val="Georgia"/>
      <family val="1"/>
    </font>
    <font>
      <sz val="11"/>
      <color rgb="FFFF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1DCD9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8">
    <xf numFmtId="0" fontId="0" fillId="0" borderId="0"/>
    <xf numFmtId="166" fontId="36" fillId="0" borderId="0"/>
    <xf numFmtId="0" fontId="37" fillId="0" borderId="0">
      <alignment horizontal="center"/>
    </xf>
    <xf numFmtId="0" fontId="37" fillId="0" borderId="0">
      <alignment horizontal="center" textRotation="90"/>
    </xf>
    <xf numFmtId="16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8" fillId="0" borderId="0"/>
    <xf numFmtId="167" fontId="38" fillId="0" borderId="0"/>
  </cellStyleXfs>
  <cellXfs count="305">
    <xf numFmtId="0" fontId="0" fillId="0" borderId="0" xfId="0"/>
    <xf numFmtId="166" fontId="39" fillId="0" borderId="0" xfId="1" applyFont="1" applyFill="1" applyBorder="1" applyAlignment="1">
      <alignment horizontal="right" vertical="top"/>
    </xf>
    <xf numFmtId="166" fontId="36" fillId="0" borderId="0" xfId="1"/>
    <xf numFmtId="166" fontId="40" fillId="0" borderId="47" xfId="1" applyFont="1" applyFill="1" applyBorder="1" applyAlignment="1">
      <alignment horizontal="left" vertical="top" wrapText="1"/>
    </xf>
    <xf numFmtId="166" fontId="41" fillId="0" borderId="47" xfId="1" applyFont="1" applyFill="1" applyBorder="1" applyAlignment="1">
      <alignment horizontal="left" vertical="top" wrapText="1"/>
    </xf>
    <xf numFmtId="166" fontId="40" fillId="0" borderId="47" xfId="1" applyFont="1" applyFill="1" applyBorder="1" applyAlignment="1">
      <alignment horizontal="left" vertical="center" wrapText="1" indent="6"/>
    </xf>
    <xf numFmtId="166" fontId="40" fillId="0" borderId="48" xfId="1" applyFont="1" applyFill="1" applyBorder="1" applyAlignment="1">
      <alignment horizontal="left" vertical="top" wrapText="1" indent="4"/>
    </xf>
    <xf numFmtId="166" fontId="40" fillId="0" borderId="49" xfId="1" applyFont="1" applyFill="1" applyBorder="1" applyAlignment="1">
      <alignment horizontal="center" vertical="top" wrapText="1"/>
    </xf>
    <xf numFmtId="165" fontId="42" fillId="0" borderId="48" xfId="1" applyNumberFormat="1" applyFont="1" applyFill="1" applyBorder="1" applyAlignment="1">
      <alignment horizontal="right" vertical="top" shrinkToFit="1"/>
    </xf>
    <xf numFmtId="165" fontId="42" fillId="0" borderId="49" xfId="1" applyNumberFormat="1" applyFont="1" applyFill="1" applyBorder="1" applyAlignment="1">
      <alignment horizontal="center" vertical="top" shrinkToFit="1"/>
    </xf>
    <xf numFmtId="2" fontId="42" fillId="0" borderId="48" xfId="1" applyNumberFormat="1" applyFont="1" applyFill="1" applyBorder="1" applyAlignment="1">
      <alignment horizontal="right" vertical="top" shrinkToFit="1"/>
    </xf>
    <xf numFmtId="2" fontId="42" fillId="0" borderId="49" xfId="1" applyNumberFormat="1" applyFont="1" applyFill="1" applyBorder="1" applyAlignment="1">
      <alignment horizontal="center" vertical="top" shrinkToFit="1"/>
    </xf>
    <xf numFmtId="166" fontId="43" fillId="0" borderId="0" xfId="1" applyFont="1" applyFill="1" applyBorder="1" applyAlignment="1">
      <alignment horizontal="left" vertical="top"/>
    </xf>
    <xf numFmtId="165" fontId="42" fillId="0" borderId="49" xfId="1" applyNumberFormat="1" applyFont="1" applyFill="1" applyBorder="1" applyAlignment="1">
      <alignment horizontal="left" vertical="top" indent="3" shrinkToFit="1"/>
    </xf>
    <xf numFmtId="2" fontId="42" fillId="0" borderId="49" xfId="1" applyNumberFormat="1" applyFont="1" applyFill="1" applyBorder="1" applyAlignment="1">
      <alignment horizontal="left" vertical="top" indent="3" shrinkToFit="1"/>
    </xf>
    <xf numFmtId="166" fontId="36" fillId="0" borderId="0" xfId="1" applyFill="1" applyBorder="1" applyAlignment="1">
      <alignment horizontal="left" vertical="top"/>
    </xf>
    <xf numFmtId="1" fontId="44" fillId="0" borderId="0" xfId="1" applyNumberFormat="1" applyFont="1" applyFill="1" applyBorder="1" applyAlignment="1">
      <alignment horizontal="left" vertical="top" shrinkToFit="1"/>
    </xf>
    <xf numFmtId="166" fontId="40" fillId="0" borderId="0" xfId="1" applyFont="1" applyFill="1" applyBorder="1" applyAlignment="1">
      <alignment horizontal="center" vertical="top"/>
    </xf>
    <xf numFmtId="166" fontId="40" fillId="0" borderId="0" xfId="1" applyFont="1" applyAlignment="1">
      <alignment horizontal="center"/>
    </xf>
    <xf numFmtId="166" fontId="40" fillId="0" borderId="0" xfId="1" applyFont="1" applyAlignment="1"/>
    <xf numFmtId="166" fontId="45" fillId="0" borderId="0" xfId="1" applyFont="1" applyFill="1" applyBorder="1" applyAlignment="1">
      <alignment horizontal="right" vertical="top"/>
    </xf>
    <xf numFmtId="4" fontId="45" fillId="0" borderId="0" xfId="1" applyNumberFormat="1" applyFont="1" applyFill="1" applyBorder="1" applyAlignment="1">
      <alignment horizontal="center" vertical="top"/>
    </xf>
    <xf numFmtId="0" fontId="0" fillId="0" borderId="4" xfId="0" applyBorder="1"/>
    <xf numFmtId="2" fontId="0" fillId="0" borderId="0" xfId="0" applyNumberFormat="1"/>
    <xf numFmtId="2" fontId="12" fillId="0" borderId="0" xfId="0" applyNumberFormat="1" applyFont="1"/>
    <xf numFmtId="2" fontId="11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horizontal="left" vertical="center"/>
    </xf>
    <xf numFmtId="2" fontId="15" fillId="0" borderId="0" xfId="0" applyNumberFormat="1" applyFont="1" applyAlignment="1">
      <alignment horizontal="left" vertical="center"/>
    </xf>
    <xf numFmtId="2" fontId="13" fillId="0" borderId="5" xfId="0" applyNumberFormat="1" applyFont="1" applyBorder="1" applyAlignment="1">
      <alignment horizontal="left" vertical="center"/>
    </xf>
    <xf numFmtId="2" fontId="13" fillId="2" borderId="5" xfId="0" applyNumberFormat="1" applyFont="1" applyFill="1" applyBorder="1" applyAlignment="1">
      <alignment horizontal="left" vertical="center"/>
    </xf>
    <xf numFmtId="2" fontId="0" fillId="0" borderId="5" xfId="0" applyNumberFormat="1" applyBorder="1"/>
    <xf numFmtId="2" fontId="12" fillId="0" borderId="5" xfId="0" applyNumberFormat="1" applyFont="1" applyBorder="1"/>
    <xf numFmtId="9" fontId="13" fillId="2" borderId="5" xfId="5" applyFont="1" applyFill="1" applyBorder="1" applyAlignment="1">
      <alignment horizontal="center" vertical="center"/>
    </xf>
    <xf numFmtId="1" fontId="13" fillId="0" borderId="5" xfId="0" applyNumberFormat="1" applyFont="1" applyBorder="1" applyAlignment="1">
      <alignment horizontal="left" vertical="center"/>
    </xf>
    <xf numFmtId="2" fontId="47" fillId="0" borderId="0" xfId="0" applyNumberFormat="1" applyFont="1" applyAlignment="1">
      <alignment horizontal="right" vertical="center"/>
    </xf>
    <xf numFmtId="2" fontId="13" fillId="0" borderId="0" xfId="0" applyNumberFormat="1" applyFont="1" applyBorder="1" applyAlignment="1">
      <alignment horizontal="left" vertical="center"/>
    </xf>
    <xf numFmtId="10" fontId="13" fillId="2" borderId="6" xfId="5" applyNumberFormat="1" applyFont="1" applyFill="1" applyBorder="1" applyAlignment="1">
      <alignment horizontal="center" vertical="center"/>
    </xf>
    <xf numFmtId="2" fontId="12" fillId="0" borderId="0" xfId="0" applyNumberFormat="1" applyFont="1" applyBorder="1"/>
    <xf numFmtId="9" fontId="13" fillId="0" borderId="0" xfId="5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left" vertical="center"/>
    </xf>
    <xf numFmtId="2" fontId="12" fillId="0" borderId="2" xfId="0" applyNumberFormat="1" applyFont="1" applyBorder="1" applyAlignment="1">
      <alignment horizontal="left" vertical="center"/>
    </xf>
    <xf numFmtId="2" fontId="12" fillId="0" borderId="2" xfId="0" applyNumberFormat="1" applyFont="1" applyBorder="1"/>
    <xf numFmtId="2" fontId="19" fillId="0" borderId="7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left" vertical="center" wrapText="1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center" vertical="center"/>
    </xf>
    <xf numFmtId="2" fontId="12" fillId="0" borderId="8" xfId="0" applyNumberFormat="1" applyFont="1" applyBorder="1" applyAlignment="1">
      <alignment horizontal="left" vertical="center"/>
    </xf>
    <xf numFmtId="2" fontId="11" fillId="0" borderId="8" xfId="0" applyNumberFormat="1" applyFont="1" applyBorder="1" applyAlignment="1">
      <alignment horizontal="left" vertical="center"/>
    </xf>
    <xf numFmtId="1" fontId="12" fillId="0" borderId="8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left" vertical="center"/>
    </xf>
    <xf numFmtId="2" fontId="13" fillId="0" borderId="2" xfId="0" applyNumberFormat="1" applyFont="1" applyBorder="1" applyAlignment="1">
      <alignment horizontal="left" vertical="center"/>
    </xf>
    <xf numFmtId="2" fontId="16" fillId="3" borderId="0" xfId="0" applyNumberFormat="1" applyFont="1" applyFill="1" applyAlignment="1">
      <alignment horizontal="left" vertical="center"/>
    </xf>
    <xf numFmtId="2" fontId="13" fillId="0" borderId="0" xfId="0" applyNumberFormat="1" applyFont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2" fontId="0" fillId="0" borderId="0" xfId="0" applyNumberFormat="1" applyFill="1"/>
    <xf numFmtId="2" fontId="12" fillId="0" borderId="0" xfId="0" applyNumberFormat="1" applyFont="1" applyFill="1"/>
    <xf numFmtId="2" fontId="13" fillId="0" borderId="8" xfId="0" applyNumberFormat="1" applyFont="1" applyFill="1" applyBorder="1" applyAlignment="1">
      <alignment horizontal="left" vertical="center"/>
    </xf>
    <xf numFmtId="9" fontId="13" fillId="0" borderId="8" xfId="5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2" fontId="47" fillId="0" borderId="0" xfId="0" applyNumberFormat="1" applyFont="1" applyFill="1" applyAlignment="1">
      <alignment horizontal="left" vertical="center"/>
    </xf>
    <xf numFmtId="10" fontId="47" fillId="0" borderId="0" xfId="5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left" vertical="center"/>
    </xf>
    <xf numFmtId="2" fontId="12" fillId="0" borderId="0" xfId="0" applyNumberFormat="1" applyFont="1" applyFill="1" applyAlignment="1">
      <alignment horizontal="left" vertical="center"/>
    </xf>
    <xf numFmtId="2" fontId="48" fillId="0" borderId="0" xfId="0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center"/>
    </xf>
    <xf numFmtId="10" fontId="48" fillId="0" borderId="0" xfId="5" applyNumberFormat="1" applyFont="1" applyAlignment="1">
      <alignment horizontal="center" vertical="center"/>
    </xf>
    <xf numFmtId="2" fontId="22" fillId="0" borderId="0" xfId="0" applyNumberFormat="1" applyFont="1" applyAlignment="1">
      <alignment horizontal="left" vertical="center"/>
    </xf>
    <xf numFmtId="2" fontId="12" fillId="0" borderId="9" xfId="0" applyNumberFormat="1" applyFont="1" applyBorder="1" applyAlignment="1">
      <alignment horizontal="left" vertical="center"/>
    </xf>
    <xf numFmtId="2" fontId="19" fillId="0" borderId="9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/>
    </xf>
    <xf numFmtId="10" fontId="12" fillId="0" borderId="9" xfId="0" applyNumberFormat="1" applyFont="1" applyBorder="1" applyAlignment="1">
      <alignment horizontal="center" vertical="center"/>
    </xf>
    <xf numFmtId="10" fontId="12" fillId="0" borderId="10" xfId="0" applyNumberFormat="1" applyFont="1" applyBorder="1" applyAlignment="1">
      <alignment horizontal="right" vertical="center"/>
    </xf>
    <xf numFmtId="10" fontId="12" fillId="0" borderId="11" xfId="0" applyNumberFormat="1" applyFont="1" applyBorder="1" applyAlignment="1">
      <alignment horizontal="right" vertical="center"/>
    </xf>
    <xf numFmtId="2" fontId="13" fillId="0" borderId="12" xfId="0" applyNumberFormat="1" applyFont="1" applyBorder="1" applyAlignment="1">
      <alignment horizontal="left" vertical="center" wrapText="1"/>
    </xf>
    <xf numFmtId="2" fontId="13" fillId="0" borderId="4" xfId="0" applyNumberFormat="1" applyFont="1" applyBorder="1" applyAlignment="1">
      <alignment horizontal="left" vertical="center"/>
    </xf>
    <xf numFmtId="2" fontId="13" fillId="0" borderId="4" xfId="0" applyNumberFormat="1" applyFont="1" applyBorder="1" applyAlignment="1">
      <alignment horizontal="right" vertical="center"/>
    </xf>
    <xf numFmtId="2" fontId="13" fillId="4" borderId="4" xfId="0" applyNumberFormat="1" applyFont="1" applyFill="1" applyBorder="1" applyAlignment="1">
      <alignment horizontal="right" vertical="center"/>
    </xf>
    <xf numFmtId="10" fontId="13" fillId="0" borderId="4" xfId="0" applyNumberFormat="1" applyFont="1" applyBorder="1" applyAlignment="1">
      <alignment horizontal="right" vertical="center"/>
    </xf>
    <xf numFmtId="10" fontId="13" fillId="0" borderId="13" xfId="0" applyNumberFormat="1" applyFont="1" applyBorder="1" applyAlignment="1">
      <alignment horizontal="right" vertical="center"/>
    </xf>
    <xf numFmtId="2" fontId="12" fillId="0" borderId="12" xfId="0" applyNumberFormat="1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horizontal="left" vertical="center"/>
    </xf>
    <xf numFmtId="2" fontId="12" fillId="0" borderId="4" xfId="0" applyNumberFormat="1" applyFont="1" applyBorder="1" applyAlignment="1">
      <alignment horizontal="right" vertical="center"/>
    </xf>
    <xf numFmtId="10" fontId="12" fillId="0" borderId="4" xfId="0" applyNumberFormat="1" applyFont="1" applyBorder="1" applyAlignment="1">
      <alignment horizontal="right" vertical="center"/>
    </xf>
    <xf numFmtId="10" fontId="12" fillId="0" borderId="13" xfId="0" applyNumberFormat="1" applyFont="1" applyBorder="1" applyAlignment="1">
      <alignment horizontal="right" vertical="center"/>
    </xf>
    <xf numFmtId="2" fontId="12" fillId="0" borderId="14" xfId="0" applyNumberFormat="1" applyFont="1" applyBorder="1" applyAlignment="1">
      <alignment horizontal="left" vertical="center" wrapText="1"/>
    </xf>
    <xf numFmtId="2" fontId="12" fillId="0" borderId="15" xfId="0" applyNumberFormat="1" applyFont="1" applyBorder="1" applyAlignment="1">
      <alignment horizontal="left" vertical="center"/>
    </xf>
    <xf numFmtId="2" fontId="12" fillId="0" borderId="15" xfId="0" applyNumberFormat="1" applyFont="1" applyBorder="1" applyAlignment="1">
      <alignment horizontal="right" vertical="center"/>
    </xf>
    <xf numFmtId="10" fontId="12" fillId="0" borderId="15" xfId="0" applyNumberFormat="1" applyFont="1" applyBorder="1" applyAlignment="1">
      <alignment horizontal="right" vertical="center"/>
    </xf>
    <xf numFmtId="10" fontId="12" fillId="0" borderId="16" xfId="0" applyNumberFormat="1" applyFont="1" applyBorder="1" applyAlignment="1">
      <alignment horizontal="right" vertical="center"/>
    </xf>
    <xf numFmtId="10" fontId="49" fillId="0" borderId="17" xfId="0" applyNumberFormat="1" applyFont="1" applyBorder="1" applyAlignment="1">
      <alignment horizontal="right" vertical="center"/>
    </xf>
    <xf numFmtId="10" fontId="49" fillId="0" borderId="18" xfId="0" applyNumberFormat="1" applyFont="1" applyBorder="1" applyAlignment="1">
      <alignment horizontal="right" vertical="center"/>
    </xf>
    <xf numFmtId="2" fontId="49" fillId="0" borderId="12" xfId="0" applyNumberFormat="1" applyFont="1" applyBorder="1" applyAlignment="1">
      <alignment horizontal="left" vertical="center" wrapText="1"/>
    </xf>
    <xf numFmtId="2" fontId="49" fillId="0" borderId="4" xfId="0" applyNumberFormat="1" applyFont="1" applyBorder="1" applyAlignment="1">
      <alignment horizontal="left" vertical="center"/>
    </xf>
    <xf numFmtId="2" fontId="49" fillId="0" borderId="4" xfId="0" applyNumberFormat="1" applyFont="1" applyBorder="1" applyAlignment="1">
      <alignment horizontal="right" vertical="center"/>
    </xf>
    <xf numFmtId="10" fontId="49" fillId="0" borderId="4" xfId="0" applyNumberFormat="1" applyFont="1" applyBorder="1" applyAlignment="1">
      <alignment horizontal="right" vertical="center"/>
    </xf>
    <xf numFmtId="10" fontId="49" fillId="0" borderId="13" xfId="0" applyNumberFormat="1" applyFont="1" applyBorder="1" applyAlignment="1">
      <alignment horizontal="right" vertical="center"/>
    </xf>
    <xf numFmtId="2" fontId="49" fillId="0" borderId="19" xfId="0" applyNumberFormat="1" applyFont="1" applyBorder="1" applyAlignment="1">
      <alignment horizontal="left" vertical="center" wrapText="1"/>
    </xf>
    <xf numFmtId="2" fontId="49" fillId="0" borderId="20" xfId="0" applyNumberFormat="1" applyFont="1" applyBorder="1" applyAlignment="1">
      <alignment horizontal="left" vertical="center"/>
    </xf>
    <xf numFmtId="2" fontId="49" fillId="0" borderId="20" xfId="0" applyNumberFormat="1" applyFont="1" applyBorder="1" applyAlignment="1">
      <alignment horizontal="right" vertical="center"/>
    </xf>
    <xf numFmtId="10" fontId="49" fillId="0" borderId="20" xfId="0" applyNumberFormat="1" applyFont="1" applyBorder="1" applyAlignment="1">
      <alignment horizontal="right" vertical="center"/>
    </xf>
    <xf numFmtId="10" fontId="49" fillId="0" borderId="21" xfId="0" applyNumberFormat="1" applyFont="1" applyBorder="1" applyAlignment="1">
      <alignment horizontal="right" vertical="center"/>
    </xf>
    <xf numFmtId="2" fontId="23" fillId="0" borderId="0" xfId="0" applyNumberFormat="1" applyFont="1" applyAlignment="1">
      <alignment horizontal="left" vertical="center"/>
    </xf>
    <xf numFmtId="2" fontId="25" fillId="0" borderId="0" xfId="0" applyNumberFormat="1" applyFont="1" applyAlignment="1">
      <alignment horizontal="left" vertical="center"/>
    </xf>
    <xf numFmtId="2" fontId="12" fillId="0" borderId="22" xfId="0" applyNumberFormat="1" applyFont="1" applyBorder="1"/>
    <xf numFmtId="10" fontId="0" fillId="0" borderId="0" xfId="0" applyNumberFormat="1"/>
    <xf numFmtId="2" fontId="12" fillId="0" borderId="22" xfId="0" applyNumberFormat="1" applyFont="1" applyBorder="1" applyAlignment="1">
      <alignment horizontal="left" vertical="center"/>
    </xf>
    <xf numFmtId="2" fontId="12" fillId="0" borderId="23" xfId="0" applyNumberFormat="1" applyFont="1" applyBorder="1" applyAlignment="1">
      <alignment horizontal="left" vertical="center"/>
    </xf>
    <xf numFmtId="2" fontId="0" fillId="0" borderId="0" xfId="0" applyNumberFormat="1" applyBorder="1"/>
    <xf numFmtId="2" fontId="12" fillId="0" borderId="0" xfId="0" applyNumberFormat="1" applyFont="1" applyBorder="1" applyAlignment="1">
      <alignment horizontal="left" vertical="center" wrapText="1"/>
    </xf>
    <xf numFmtId="2" fontId="12" fillId="0" borderId="0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horizontal="left" vertical="center"/>
    </xf>
    <xf numFmtId="2" fontId="19" fillId="0" borderId="24" xfId="0" applyNumberFormat="1" applyFont="1" applyBorder="1" applyAlignment="1">
      <alignment horizontal="left" vertical="center"/>
    </xf>
    <xf numFmtId="2" fontId="19" fillId="0" borderId="25" xfId="0" applyNumberFormat="1" applyFont="1" applyBorder="1" applyAlignment="1">
      <alignment horizontal="left" vertical="center"/>
    </xf>
    <xf numFmtId="2" fontId="19" fillId="0" borderId="26" xfId="0" applyNumberFormat="1" applyFont="1" applyBorder="1" applyAlignment="1">
      <alignment horizontal="center" vertical="center" wrapText="1"/>
    </xf>
    <xf numFmtId="2" fontId="19" fillId="0" borderId="26" xfId="0" applyNumberFormat="1" applyFont="1" applyBorder="1" applyAlignment="1">
      <alignment horizontal="center" vertical="center"/>
    </xf>
    <xf numFmtId="10" fontId="19" fillId="0" borderId="27" xfId="0" applyNumberFormat="1" applyFont="1" applyBorder="1" applyAlignment="1">
      <alignment horizontal="center" vertical="center"/>
    </xf>
    <xf numFmtId="10" fontId="19" fillId="0" borderId="28" xfId="0" applyNumberFormat="1" applyFont="1" applyBorder="1" applyAlignment="1">
      <alignment horizontal="center" vertical="center"/>
    </xf>
    <xf numFmtId="2" fontId="12" fillId="0" borderId="29" xfId="0" applyNumberFormat="1" applyFont="1" applyBorder="1" applyAlignment="1">
      <alignment horizontal="right" vertical="center"/>
    </xf>
    <xf numFmtId="2" fontId="12" fillId="0" borderId="29" xfId="0" applyNumberFormat="1" applyFont="1" applyBorder="1" applyAlignment="1">
      <alignment horizontal="left" vertical="center"/>
    </xf>
    <xf numFmtId="2" fontId="0" fillId="0" borderId="30" xfId="0" applyNumberFormat="1" applyBorder="1"/>
    <xf numFmtId="2" fontId="12" fillId="0" borderId="19" xfId="0" applyNumberFormat="1" applyFont="1" applyBorder="1" applyAlignment="1">
      <alignment horizontal="left" vertical="center" wrapText="1"/>
    </xf>
    <xf numFmtId="2" fontId="12" fillId="0" borderId="20" xfId="0" applyNumberFormat="1" applyFont="1" applyBorder="1" applyAlignment="1">
      <alignment horizontal="left" vertical="center"/>
    </xf>
    <xf numFmtId="2" fontId="12" fillId="0" borderId="20" xfId="0" applyNumberFormat="1" applyFont="1" applyBorder="1" applyAlignment="1">
      <alignment horizontal="right" vertical="center"/>
    </xf>
    <xf numFmtId="10" fontId="12" fillId="0" borderId="20" xfId="0" applyNumberFormat="1" applyFont="1" applyBorder="1" applyAlignment="1">
      <alignment horizontal="right" vertical="center"/>
    </xf>
    <xf numFmtId="10" fontId="12" fillId="0" borderId="21" xfId="0" applyNumberFormat="1" applyFont="1" applyBorder="1" applyAlignment="1">
      <alignment horizontal="right" vertical="center"/>
    </xf>
    <xf numFmtId="2" fontId="16" fillId="0" borderId="10" xfId="0" applyNumberFormat="1" applyFont="1" applyBorder="1" applyAlignment="1">
      <alignment horizontal="right" vertical="center"/>
    </xf>
    <xf numFmtId="10" fontId="16" fillId="0" borderId="10" xfId="0" applyNumberFormat="1" applyFont="1" applyBorder="1" applyAlignment="1">
      <alignment horizontal="right" vertical="center"/>
    </xf>
    <xf numFmtId="10" fontId="16" fillId="0" borderId="11" xfId="0" applyNumberFormat="1" applyFont="1" applyBorder="1" applyAlignment="1">
      <alignment horizontal="right" vertical="center"/>
    </xf>
    <xf numFmtId="2" fontId="16" fillId="0" borderId="12" xfId="0" applyNumberFormat="1" applyFont="1" applyBorder="1" applyAlignment="1">
      <alignment horizontal="left" vertical="center" wrapText="1"/>
    </xf>
    <xf numFmtId="2" fontId="16" fillId="0" borderId="4" xfId="0" applyNumberFormat="1" applyFont="1" applyBorder="1" applyAlignment="1">
      <alignment horizontal="left" vertical="center"/>
    </xf>
    <xf numFmtId="2" fontId="16" fillId="0" borderId="4" xfId="0" applyNumberFormat="1" applyFont="1" applyBorder="1" applyAlignment="1">
      <alignment horizontal="right" vertical="center"/>
    </xf>
    <xf numFmtId="2" fontId="16" fillId="4" borderId="4" xfId="0" applyNumberFormat="1" applyFont="1" applyFill="1" applyBorder="1" applyAlignment="1">
      <alignment horizontal="right" vertical="center"/>
    </xf>
    <xf numFmtId="10" fontId="16" fillId="0" borderId="4" xfId="0" applyNumberFormat="1" applyFont="1" applyBorder="1" applyAlignment="1">
      <alignment horizontal="right" vertical="center"/>
    </xf>
    <xf numFmtId="10" fontId="16" fillId="0" borderId="13" xfId="0" applyNumberFormat="1" applyFont="1" applyBorder="1" applyAlignment="1">
      <alignment horizontal="right" vertical="center"/>
    </xf>
    <xf numFmtId="2" fontId="16" fillId="0" borderId="14" xfId="0" applyNumberFormat="1" applyFont="1" applyBorder="1" applyAlignment="1">
      <alignment horizontal="left" vertical="center" wrapText="1"/>
    </xf>
    <xf numFmtId="2" fontId="16" fillId="0" borderId="15" xfId="0" applyNumberFormat="1" applyFont="1" applyBorder="1" applyAlignment="1">
      <alignment horizontal="left" vertical="center"/>
    </xf>
    <xf numFmtId="2" fontId="16" fillId="0" borderId="15" xfId="0" applyNumberFormat="1" applyFont="1" applyBorder="1" applyAlignment="1">
      <alignment horizontal="right" vertical="center"/>
    </xf>
    <xf numFmtId="10" fontId="16" fillId="0" borderId="15" xfId="0" applyNumberFormat="1" applyFont="1" applyBorder="1" applyAlignment="1">
      <alignment horizontal="right" vertical="center"/>
    </xf>
    <xf numFmtId="10" fontId="16" fillId="0" borderId="16" xfId="0" applyNumberFormat="1" applyFont="1" applyBorder="1" applyAlignment="1">
      <alignment horizontal="right" vertical="center"/>
    </xf>
    <xf numFmtId="2" fontId="12" fillId="0" borderId="2" xfId="0" applyNumberFormat="1" applyFont="1" applyBorder="1" applyAlignment="1">
      <alignment horizontal="right" vertical="center"/>
    </xf>
    <xf numFmtId="2" fontId="12" fillId="0" borderId="3" xfId="0" applyNumberFormat="1" applyFont="1" applyBorder="1" applyAlignment="1">
      <alignment horizontal="left" vertical="center"/>
    </xf>
    <xf numFmtId="2" fontId="13" fillId="0" borderId="2" xfId="0" applyNumberFormat="1" applyFont="1" applyBorder="1"/>
    <xf numFmtId="2" fontId="19" fillId="0" borderId="24" xfId="0" applyNumberFormat="1" applyFont="1" applyBorder="1" applyAlignment="1">
      <alignment horizontal="center" vertical="center"/>
    </xf>
    <xf numFmtId="2" fontId="19" fillId="0" borderId="25" xfId="0" applyNumberFormat="1" applyFont="1" applyBorder="1" applyAlignment="1">
      <alignment horizontal="center" vertical="center"/>
    </xf>
    <xf numFmtId="2" fontId="28" fillId="0" borderId="3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32" xfId="0" applyNumberFormat="1" applyFont="1" applyBorder="1" applyAlignment="1">
      <alignment horizontal="right" vertical="center"/>
    </xf>
    <xf numFmtId="2" fontId="17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right" vertical="center"/>
    </xf>
    <xf numFmtId="2" fontId="17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vertical="center"/>
    </xf>
    <xf numFmtId="166" fontId="36" fillId="0" borderId="0" xfId="1" applyAlignment="1">
      <alignment horizontal="right"/>
    </xf>
    <xf numFmtId="166" fontId="50" fillId="0" borderId="0" xfId="1" applyFont="1" applyFill="1" applyBorder="1" applyAlignment="1">
      <alignment horizontal="center" vertical="top"/>
    </xf>
    <xf numFmtId="49" fontId="45" fillId="2" borderId="4" xfId="1" applyNumberFormat="1" applyFont="1" applyFill="1" applyBorder="1" applyAlignment="1">
      <alignment horizontal="center" vertical="top"/>
    </xf>
    <xf numFmtId="10" fontId="13" fillId="2" borderId="4" xfId="5" applyNumberFormat="1" applyFont="1" applyFill="1" applyBorder="1" applyAlignment="1">
      <alignment horizontal="center" vertical="center"/>
    </xf>
    <xf numFmtId="166" fontId="40" fillId="0" borderId="0" xfId="1" applyFont="1" applyFill="1" applyBorder="1" applyAlignment="1">
      <alignment horizontal="right" vertical="top"/>
    </xf>
    <xf numFmtId="166" fontId="51" fillId="0" borderId="50" xfId="1" applyFont="1" applyFill="1" applyBorder="1" applyAlignment="1">
      <alignment horizontal="left" vertical="center" wrapText="1" indent="6"/>
    </xf>
    <xf numFmtId="166" fontId="51" fillId="0" borderId="50" xfId="1" applyFont="1" applyFill="1" applyBorder="1" applyAlignment="1">
      <alignment horizontal="center" vertical="center" wrapText="1"/>
    </xf>
    <xf numFmtId="166" fontId="51" fillId="5" borderId="50" xfId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left" vertical="center"/>
    </xf>
    <xf numFmtId="0" fontId="0" fillId="0" borderId="0" xfId="0"/>
    <xf numFmtId="166" fontId="36" fillId="0" borderId="0" xfId="1"/>
    <xf numFmtId="2" fontId="12" fillId="5" borderId="2" xfId="0" applyNumberFormat="1" applyFont="1" applyFill="1" applyBorder="1" applyAlignment="1">
      <alignment horizontal="left" vertical="center"/>
    </xf>
    <xf numFmtId="2" fontId="12" fillId="5" borderId="7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left" vertical="center"/>
    </xf>
    <xf numFmtId="2" fontId="13" fillId="5" borderId="2" xfId="0" applyNumberFormat="1" applyFont="1" applyFill="1" applyBorder="1" applyAlignment="1">
      <alignment horizontal="left" vertical="center"/>
    </xf>
    <xf numFmtId="2" fontId="13" fillId="5" borderId="7" xfId="0" applyNumberFormat="1" applyFont="1" applyFill="1" applyBorder="1" applyAlignment="1">
      <alignment horizontal="center" vertical="center"/>
    </xf>
    <xf numFmtId="2" fontId="12" fillId="5" borderId="34" xfId="0" applyNumberFormat="1" applyFont="1" applyFill="1" applyBorder="1" applyAlignment="1">
      <alignment horizontal="left" vertical="center" wrapText="1"/>
    </xf>
    <xf numFmtId="2" fontId="12" fillId="5" borderId="10" xfId="0" applyNumberFormat="1" applyFont="1" applyFill="1" applyBorder="1" applyAlignment="1">
      <alignment horizontal="left" vertical="center"/>
    </xf>
    <xf numFmtId="2" fontId="12" fillId="5" borderId="10" xfId="0" applyNumberFormat="1" applyFont="1" applyFill="1" applyBorder="1" applyAlignment="1">
      <alignment horizontal="right" vertical="center"/>
    </xf>
    <xf numFmtId="2" fontId="16" fillId="5" borderId="35" xfId="0" applyNumberFormat="1" applyFont="1" applyFill="1" applyBorder="1" applyAlignment="1">
      <alignment horizontal="left" vertical="center" wrapText="1"/>
    </xf>
    <xf numFmtId="2" fontId="16" fillId="5" borderId="17" xfId="0" applyNumberFormat="1" applyFont="1" applyFill="1" applyBorder="1" applyAlignment="1">
      <alignment horizontal="left" vertical="center"/>
    </xf>
    <xf numFmtId="2" fontId="16" fillId="5" borderId="17" xfId="0" applyNumberFormat="1" applyFont="1" applyFill="1" applyBorder="1" applyAlignment="1">
      <alignment horizontal="right" vertical="center"/>
    </xf>
    <xf numFmtId="2" fontId="12" fillId="5" borderId="7" xfId="0" applyNumberFormat="1" applyFont="1" applyFill="1" applyBorder="1"/>
    <xf numFmtId="2" fontId="12" fillId="5" borderId="2" xfId="0" applyNumberFormat="1" applyFont="1" applyFill="1" applyBorder="1"/>
    <xf numFmtId="2" fontId="12" fillId="5" borderId="36" xfId="0" applyNumberFormat="1" applyFont="1" applyFill="1" applyBorder="1" applyAlignment="1">
      <alignment horizontal="left" vertical="center"/>
    </xf>
    <xf numFmtId="2" fontId="12" fillId="5" borderId="37" xfId="0" applyNumberFormat="1" applyFont="1" applyFill="1" applyBorder="1" applyAlignment="1">
      <alignment horizontal="left" vertical="center"/>
    </xf>
    <xf numFmtId="2" fontId="12" fillId="5" borderId="33" xfId="0" applyNumberFormat="1" applyFont="1" applyFill="1" applyBorder="1"/>
    <xf numFmtId="2" fontId="12" fillId="5" borderId="4" xfId="0" applyNumberFormat="1" applyFont="1" applyFill="1" applyBorder="1"/>
    <xf numFmtId="166" fontId="51" fillId="6" borderId="50" xfId="1" applyFont="1" applyFill="1" applyBorder="1" applyAlignment="1">
      <alignment horizontal="left" wrapText="1"/>
    </xf>
    <xf numFmtId="166" fontId="51" fillId="6" borderId="50" xfId="1" applyFont="1" applyFill="1" applyBorder="1" applyAlignment="1">
      <alignment horizontal="right" wrapText="1"/>
    </xf>
    <xf numFmtId="2" fontId="12" fillId="0" borderId="34" xfId="0" applyNumberFormat="1" applyFont="1" applyFill="1" applyBorder="1" applyAlignment="1">
      <alignment horizontal="left" vertical="center" wrapText="1"/>
    </xf>
    <xf numFmtId="2" fontId="12" fillId="0" borderId="10" xfId="0" applyNumberFormat="1" applyFont="1" applyFill="1" applyBorder="1" applyAlignment="1">
      <alignment horizontal="left" vertical="center"/>
    </xf>
    <xf numFmtId="2" fontId="12" fillId="0" borderId="10" xfId="0" applyNumberFormat="1" applyFont="1" applyFill="1" applyBorder="1" applyAlignment="1">
      <alignment horizontal="right" vertical="center"/>
    </xf>
    <xf numFmtId="166" fontId="39" fillId="0" borderId="0" xfId="1" applyFont="1" applyFill="1" applyBorder="1" applyAlignment="1">
      <alignment horizontal="left" vertical="top"/>
    </xf>
    <xf numFmtId="166" fontId="40" fillId="0" borderId="0" xfId="1" applyFont="1" applyAlignment="1">
      <alignment horizontal="left"/>
    </xf>
    <xf numFmtId="166" fontId="45" fillId="0" borderId="0" xfId="1" applyFont="1" applyFill="1" applyBorder="1" applyAlignment="1">
      <alignment horizontal="left" vertical="top"/>
    </xf>
    <xf numFmtId="166" fontId="45" fillId="0" borderId="0" xfId="1" applyFont="1" applyAlignment="1">
      <alignment horizontal="left"/>
    </xf>
    <xf numFmtId="166" fontId="40" fillId="0" borderId="0" xfId="1" applyFont="1" applyFill="1" applyAlignment="1">
      <alignment horizontal="left"/>
    </xf>
    <xf numFmtId="166" fontId="40" fillId="0" borderId="0" xfId="1" applyFont="1" applyFill="1" applyBorder="1" applyAlignment="1">
      <alignment horizontal="left" vertical="top"/>
    </xf>
    <xf numFmtId="4" fontId="45" fillId="6" borderId="4" xfId="1" applyNumberFormat="1" applyFont="1" applyFill="1" applyBorder="1" applyAlignment="1" applyProtection="1">
      <alignment horizontal="left" vertical="top"/>
      <protection locked="0"/>
    </xf>
    <xf numFmtId="4" fontId="45" fillId="0" borderId="0" xfId="1" applyNumberFormat="1" applyFont="1" applyFill="1" applyAlignment="1" applyProtection="1">
      <alignment horizontal="left"/>
      <protection locked="0"/>
    </xf>
    <xf numFmtId="166" fontId="45" fillId="0" borderId="0" xfId="1" applyFont="1" applyFill="1" applyAlignment="1">
      <alignment horizontal="left"/>
    </xf>
    <xf numFmtId="4" fontId="45" fillId="0" borderId="0" xfId="1" applyNumberFormat="1" applyFont="1" applyFill="1" applyAlignment="1">
      <alignment horizontal="left"/>
    </xf>
    <xf numFmtId="166" fontId="36" fillId="0" borderId="0" xfId="1" applyFill="1" applyAlignment="1">
      <alignment horizontal="left"/>
    </xf>
    <xf numFmtId="166" fontId="36" fillId="0" borderId="0" xfId="1" applyAlignment="1">
      <alignment horizontal="left"/>
    </xf>
    <xf numFmtId="166" fontId="51" fillId="0" borderId="50" xfId="1" applyFont="1" applyFill="1" applyBorder="1" applyAlignment="1">
      <alignment horizontal="left" vertical="center" wrapText="1"/>
    </xf>
    <xf numFmtId="166" fontId="52" fillId="0" borderId="50" xfId="1" applyFont="1" applyFill="1" applyBorder="1" applyAlignment="1">
      <alignment horizontal="left" vertical="center" wrapText="1"/>
    </xf>
    <xf numFmtId="166" fontId="52" fillId="0" borderId="51" xfId="1" applyFont="1" applyFill="1" applyBorder="1" applyAlignment="1">
      <alignment horizontal="left" vertical="center" wrapText="1"/>
    </xf>
    <xf numFmtId="166" fontId="9" fillId="0" borderId="0" xfId="1" applyFont="1" applyFill="1" applyAlignment="1">
      <alignment horizontal="left"/>
    </xf>
    <xf numFmtId="166" fontId="8" fillId="0" borderId="52" xfId="1" applyFont="1" applyFill="1" applyBorder="1" applyAlignment="1">
      <alignment horizontal="left" vertical="top" wrapText="1"/>
    </xf>
    <xf numFmtId="0" fontId="10" fillId="0" borderId="52" xfId="1" applyNumberFormat="1" applyFont="1" applyFill="1" applyBorder="1" applyAlignment="1">
      <alignment horizontal="center" vertical="top" shrinkToFit="1"/>
    </xf>
    <xf numFmtId="2" fontId="10" fillId="0" borderId="52" xfId="1" applyNumberFormat="1" applyFont="1" applyFill="1" applyBorder="1" applyAlignment="1">
      <alignment horizontal="center" vertical="top" shrinkToFit="1"/>
    </xf>
    <xf numFmtId="2" fontId="10" fillId="0" borderId="47" xfId="1" applyNumberFormat="1" applyFont="1" applyFill="1" applyBorder="1" applyAlignment="1" applyProtection="1">
      <alignment horizontal="left" vertical="top" shrinkToFit="1"/>
      <protection locked="0"/>
    </xf>
    <xf numFmtId="2" fontId="30" fillId="0" borderId="4" xfId="1" applyNumberFormat="1" applyFont="1" applyFill="1" applyBorder="1" applyAlignment="1">
      <alignment horizontal="left"/>
    </xf>
    <xf numFmtId="166" fontId="8" fillId="0" borderId="4" xfId="1" applyFont="1" applyFill="1" applyBorder="1" applyAlignment="1">
      <alignment horizontal="left"/>
    </xf>
    <xf numFmtId="166" fontId="9" fillId="0" borderId="0" xfId="1" applyFont="1" applyFill="1"/>
    <xf numFmtId="166" fontId="8" fillId="0" borderId="50" xfId="1" applyFont="1" applyFill="1" applyBorder="1" applyAlignment="1">
      <alignment horizontal="left" vertical="top" wrapText="1"/>
    </xf>
    <xf numFmtId="2" fontId="10" fillId="0" borderId="50" xfId="1" applyNumberFormat="1" applyFont="1" applyFill="1" applyBorder="1" applyAlignment="1">
      <alignment horizontal="center" vertical="top" shrinkToFit="1"/>
    </xf>
    <xf numFmtId="2" fontId="10" fillId="0" borderId="51" xfId="1" applyNumberFormat="1" applyFont="1" applyFill="1" applyBorder="1" applyAlignment="1" applyProtection="1">
      <alignment horizontal="left" vertical="top" shrinkToFit="1"/>
      <protection locked="0"/>
    </xf>
    <xf numFmtId="2" fontId="30" fillId="0" borderId="9" xfId="1" applyNumberFormat="1" applyFont="1" applyFill="1" applyBorder="1" applyAlignment="1">
      <alignment horizontal="left"/>
    </xf>
    <xf numFmtId="166" fontId="8" fillId="0" borderId="9" xfId="1" applyFont="1" applyFill="1" applyBorder="1" applyAlignment="1">
      <alignment horizontal="left"/>
    </xf>
    <xf numFmtId="166" fontId="8" fillId="0" borderId="4" xfId="1" applyFont="1" applyFill="1" applyBorder="1" applyAlignment="1">
      <alignment horizontal="left" vertical="top" wrapText="1"/>
    </xf>
    <xf numFmtId="2" fontId="10" fillId="0" borderId="4" xfId="1" applyNumberFormat="1" applyFont="1" applyFill="1" applyBorder="1" applyAlignment="1">
      <alignment horizontal="center" vertical="top" shrinkToFit="1"/>
    </xf>
    <xf numFmtId="2" fontId="10" fillId="0" borderId="4" xfId="1" applyNumberFormat="1" applyFont="1" applyFill="1" applyBorder="1" applyAlignment="1" applyProtection="1">
      <alignment horizontal="left" vertical="top" shrinkToFit="1"/>
      <protection locked="0"/>
    </xf>
    <xf numFmtId="166" fontId="8" fillId="0" borderId="52" xfId="1" applyFont="1" applyFill="1" applyBorder="1" applyAlignment="1" applyProtection="1">
      <alignment horizontal="left" vertical="top" wrapText="1"/>
      <protection locked="0"/>
    </xf>
    <xf numFmtId="4" fontId="10" fillId="0" borderId="47" xfId="1" applyNumberFormat="1" applyFont="1" applyFill="1" applyBorder="1" applyAlignment="1" applyProtection="1">
      <alignment horizontal="left" vertical="top" shrinkToFit="1"/>
      <protection locked="0"/>
    </xf>
    <xf numFmtId="164" fontId="8" fillId="0" borderId="52" xfId="4" applyFont="1" applyFill="1" applyBorder="1" applyAlignment="1">
      <alignment horizontal="left" vertical="top" wrapText="1"/>
    </xf>
    <xf numFmtId="0" fontId="10" fillId="0" borderId="47" xfId="1" applyNumberFormat="1" applyFont="1" applyFill="1" applyBorder="1" applyAlignment="1" applyProtection="1">
      <alignment horizontal="left" vertical="top" shrinkToFit="1"/>
      <protection locked="0"/>
    </xf>
    <xf numFmtId="166" fontId="30" fillId="0" borderId="0" xfId="1" applyFont="1" applyFill="1" applyAlignment="1">
      <alignment horizontal="left"/>
    </xf>
    <xf numFmtId="166" fontId="8" fillId="0" borderId="47" xfId="1" applyFont="1" applyFill="1" applyBorder="1" applyAlignment="1">
      <alignment horizontal="left" vertical="top" wrapText="1"/>
    </xf>
    <xf numFmtId="0" fontId="10" fillId="0" borderId="52" xfId="1" applyNumberFormat="1" applyFont="1" applyFill="1" applyBorder="1" applyAlignment="1">
      <alignment horizontal="left" vertical="top" indent="3" shrinkToFit="1"/>
    </xf>
    <xf numFmtId="0" fontId="31" fillId="0" borderId="52" xfId="0" applyFont="1" applyFill="1" applyBorder="1" applyAlignment="1">
      <alignment horizontal="left"/>
    </xf>
    <xf numFmtId="2" fontId="31" fillId="0" borderId="52" xfId="0" applyNumberFormat="1" applyFont="1" applyFill="1" applyBorder="1" applyAlignment="1">
      <alignment horizontal="left"/>
    </xf>
    <xf numFmtId="2" fontId="10" fillId="0" borderId="52" xfId="1" applyNumberFormat="1" applyFont="1" applyFill="1" applyBorder="1" applyAlignment="1">
      <alignment horizontal="left" vertical="top" indent="3" shrinkToFit="1"/>
    </xf>
    <xf numFmtId="166" fontId="8" fillId="0" borderId="51" xfId="1" applyFont="1" applyFill="1" applyBorder="1" applyAlignment="1">
      <alignment horizontal="left" vertical="top" wrapText="1"/>
    </xf>
    <xf numFmtId="2" fontId="10" fillId="0" borderId="50" xfId="1" applyNumberFormat="1" applyFont="1" applyFill="1" applyBorder="1" applyAlignment="1">
      <alignment horizontal="left" vertical="top" indent="3" shrinkToFit="1"/>
    </xf>
    <xf numFmtId="0" fontId="31" fillId="0" borderId="50" xfId="0" applyFont="1" applyFill="1" applyBorder="1" applyAlignment="1">
      <alignment horizontal="left"/>
    </xf>
    <xf numFmtId="166" fontId="10" fillId="0" borderId="4" xfId="1" applyFont="1" applyFill="1" applyBorder="1"/>
    <xf numFmtId="166" fontId="10" fillId="0" borderId="4" xfId="1" applyFont="1" applyFill="1" applyBorder="1" applyAlignment="1" applyProtection="1">
      <alignment horizontal="left" vertical="center"/>
      <protection locked="0"/>
    </xf>
    <xf numFmtId="166" fontId="10" fillId="0" borderId="4" xfId="1" applyFont="1" applyFill="1" applyBorder="1" applyAlignment="1">
      <alignment horizontal="center"/>
    </xf>
    <xf numFmtId="4" fontId="8" fillId="0" borderId="4" xfId="1" applyNumberFormat="1" applyFont="1" applyFill="1" applyBorder="1" applyAlignment="1">
      <alignment horizontal="left"/>
    </xf>
    <xf numFmtId="0" fontId="34" fillId="0" borderId="0" xfId="0" applyFont="1" applyFill="1"/>
    <xf numFmtId="166" fontId="10" fillId="0" borderId="20" xfId="1" applyFont="1" applyFill="1" applyBorder="1"/>
    <xf numFmtId="166" fontId="10" fillId="0" borderId="20" xfId="1" applyFont="1" applyFill="1" applyBorder="1" applyAlignment="1" applyProtection="1">
      <alignment horizontal="left" vertical="center"/>
      <protection locked="0"/>
    </xf>
    <xf numFmtId="0" fontId="34" fillId="0" borderId="38" xfId="0" applyFont="1" applyFill="1" applyBorder="1"/>
    <xf numFmtId="2" fontId="10" fillId="0" borderId="53" xfId="1" applyNumberFormat="1" applyFont="1" applyFill="1" applyBorder="1" applyAlignment="1" applyProtection="1">
      <alignment horizontal="left" vertical="top" shrinkToFit="1"/>
      <protection locked="0"/>
    </xf>
    <xf numFmtId="2" fontId="30" fillId="0" borderId="20" xfId="1" applyNumberFormat="1" applyFont="1" applyFill="1" applyBorder="1" applyAlignment="1">
      <alignment horizontal="left"/>
    </xf>
    <xf numFmtId="4" fontId="8" fillId="0" borderId="20" xfId="1" applyNumberFormat="1" applyFont="1" applyFill="1" applyBorder="1" applyAlignment="1">
      <alignment horizontal="left"/>
    </xf>
    <xf numFmtId="166" fontId="10" fillId="0" borderId="0" xfId="1" applyFont="1" applyFill="1" applyBorder="1"/>
    <xf numFmtId="166" fontId="10" fillId="0" borderId="0" xfId="1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/>
    <xf numFmtId="2" fontId="10" fillId="0" borderId="0" xfId="1" applyNumberFormat="1" applyFont="1" applyFill="1" applyBorder="1" applyAlignment="1" applyProtection="1">
      <alignment horizontal="left" vertical="top" shrinkToFit="1"/>
      <protection locked="0"/>
    </xf>
    <xf numFmtId="2" fontId="30" fillId="0" borderId="0" xfId="1" applyNumberFormat="1" applyFont="1" applyFill="1" applyBorder="1" applyAlignment="1">
      <alignment horizontal="left"/>
    </xf>
    <xf numFmtId="4" fontId="8" fillId="0" borderId="0" xfId="1" applyNumberFormat="1" applyFont="1" applyFill="1" applyBorder="1" applyAlignment="1">
      <alignment horizontal="left"/>
    </xf>
    <xf numFmtId="0" fontId="34" fillId="0" borderId="0" xfId="0" applyFont="1" applyFill="1" applyAlignment="1">
      <alignment horizontal="left"/>
    </xf>
    <xf numFmtId="166" fontId="10" fillId="0" borderId="17" xfId="1" applyFont="1" applyFill="1" applyBorder="1"/>
    <xf numFmtId="166" fontId="10" fillId="0" borderId="17" xfId="1" applyFont="1" applyFill="1" applyBorder="1" applyAlignment="1" applyProtection="1">
      <alignment horizontal="left" vertical="center"/>
      <protection locked="0"/>
    </xf>
    <xf numFmtId="2" fontId="30" fillId="0" borderId="17" xfId="1" applyNumberFormat="1" applyFont="1" applyFill="1" applyBorder="1" applyAlignment="1">
      <alignment horizontal="left"/>
    </xf>
    <xf numFmtId="4" fontId="8" fillId="0" borderId="17" xfId="1" applyNumberFormat="1" applyFont="1" applyFill="1" applyBorder="1" applyAlignment="1">
      <alignment horizontal="left"/>
    </xf>
    <xf numFmtId="166" fontId="31" fillId="0" borderId="0" xfId="1" applyFont="1" applyFill="1" applyBorder="1" applyAlignment="1">
      <alignment horizontal="center"/>
    </xf>
    <xf numFmtId="0" fontId="53" fillId="0" borderId="0" xfId="0" applyFont="1" applyFill="1"/>
    <xf numFmtId="0" fontId="34" fillId="0" borderId="39" xfId="0" applyFont="1" applyFill="1" applyBorder="1"/>
    <xf numFmtId="0" fontId="34" fillId="0" borderId="40" xfId="0" applyFont="1" applyFill="1" applyBorder="1"/>
    <xf numFmtId="169" fontId="34" fillId="0" borderId="41" xfId="0" applyNumberFormat="1" applyFont="1" applyFill="1" applyBorder="1" applyAlignment="1">
      <alignment horizontal="left"/>
    </xf>
    <xf numFmtId="169" fontId="34" fillId="0" borderId="0" xfId="0" applyNumberFormat="1" applyFont="1" applyFill="1"/>
    <xf numFmtId="0" fontId="34" fillId="0" borderId="5" xfId="0" applyFont="1" applyFill="1" applyBorder="1" applyAlignment="1">
      <alignment horizontal="left"/>
    </xf>
    <xf numFmtId="10" fontId="34" fillId="0" borderId="0" xfId="0" applyNumberFormat="1" applyFont="1" applyFill="1" applyAlignment="1">
      <alignment horizontal="left"/>
    </xf>
    <xf numFmtId="0" fontId="34" fillId="0" borderId="4" xfId="0" applyFont="1" applyFill="1" applyBorder="1" applyAlignment="1">
      <alignment horizontal="center"/>
    </xf>
    <xf numFmtId="10" fontId="34" fillId="0" borderId="4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right"/>
    </xf>
    <xf numFmtId="169" fontId="34" fillId="0" borderId="4" xfId="0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169" fontId="34" fillId="0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Alignment="1">
      <alignment horizontal="left"/>
    </xf>
    <xf numFmtId="168" fontId="34" fillId="0" borderId="4" xfId="4" applyNumberFormat="1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46" fillId="0" borderId="4" xfId="0" applyFont="1" applyBorder="1" applyAlignment="1">
      <alignment horizontal="center"/>
    </xf>
    <xf numFmtId="2" fontId="54" fillId="0" borderId="42" xfId="0" applyNumberFormat="1" applyFont="1" applyFill="1" applyBorder="1" applyAlignment="1">
      <alignment horizontal="justify" vertical="center" wrapText="1"/>
    </xf>
    <xf numFmtId="2" fontId="54" fillId="0" borderId="6" xfId="0" applyNumberFormat="1" applyFont="1" applyFill="1" applyBorder="1" applyAlignment="1">
      <alignment horizontal="justify" vertical="center" wrapText="1"/>
    </xf>
    <xf numFmtId="2" fontId="54" fillId="0" borderId="43" xfId="0" applyNumberFormat="1" applyFont="1" applyFill="1" applyBorder="1" applyAlignment="1">
      <alignment horizontal="justify" vertical="center" wrapText="1"/>
    </xf>
    <xf numFmtId="2" fontId="54" fillId="0" borderId="44" xfId="0" applyNumberFormat="1" applyFont="1" applyFill="1" applyBorder="1" applyAlignment="1">
      <alignment horizontal="justify" vertical="center" wrapText="1"/>
    </xf>
    <xf numFmtId="2" fontId="54" fillId="0" borderId="5" xfId="0" applyNumberFormat="1" applyFont="1" applyFill="1" applyBorder="1" applyAlignment="1">
      <alignment horizontal="justify" vertical="center" wrapText="1"/>
    </xf>
    <xf numFmtId="2" fontId="54" fillId="0" borderId="45" xfId="0" applyNumberFormat="1" applyFont="1" applyFill="1" applyBorder="1" applyAlignment="1">
      <alignment horizontal="justify" vertical="center" wrapText="1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left" vertical="center" wrapText="1"/>
    </xf>
    <xf numFmtId="2" fontId="13" fillId="0" borderId="24" xfId="0" applyNumberFormat="1" applyFont="1" applyBorder="1" applyAlignment="1">
      <alignment horizontal="center" vertical="center" wrapText="1"/>
    </xf>
    <xf numFmtId="2" fontId="13" fillId="0" borderId="25" xfId="0" applyNumberFormat="1" applyFont="1" applyBorder="1" applyAlignment="1">
      <alignment horizontal="center" vertical="center" wrapText="1"/>
    </xf>
    <xf numFmtId="2" fontId="13" fillId="0" borderId="31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2" fontId="12" fillId="5" borderId="4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left" vertical="center" wrapText="1"/>
    </xf>
    <xf numFmtId="0" fontId="53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4" fillId="0" borderId="46" xfId="0" applyFont="1" applyFill="1" applyBorder="1" applyAlignment="1">
      <alignment horizontal="center" vertical="center"/>
    </xf>
    <xf numFmtId="166" fontId="55" fillId="6" borderId="9" xfId="1" applyFont="1" applyFill="1" applyBorder="1" applyAlignment="1">
      <alignment horizontal="center" vertical="top" wrapText="1"/>
    </xf>
    <xf numFmtId="166" fontId="55" fillId="6" borderId="17" xfId="1" applyFont="1" applyFill="1" applyBorder="1" applyAlignment="1">
      <alignment horizontal="center" vertical="top" wrapText="1"/>
    </xf>
    <xf numFmtId="166" fontId="33" fillId="0" borderId="0" xfId="1" applyFont="1" applyFill="1" applyAlignment="1">
      <alignment horizontal="center" vertical="center"/>
    </xf>
    <xf numFmtId="166" fontId="31" fillId="0" borderId="0" xfId="1" applyFont="1" applyFill="1" applyBorder="1" applyAlignment="1">
      <alignment horizontal="left" vertical="top" wrapText="1"/>
    </xf>
    <xf numFmtId="166" fontId="31" fillId="7" borderId="4" xfId="1" applyFont="1" applyFill="1" applyBorder="1" applyAlignment="1">
      <alignment horizontal="left" vertical="top" wrapText="1" indent="10"/>
    </xf>
    <xf numFmtId="166" fontId="32" fillId="7" borderId="54" xfId="1" applyFont="1" applyFill="1" applyBorder="1" applyAlignment="1">
      <alignment horizontal="left" vertical="top" wrapText="1" indent="10"/>
    </xf>
    <xf numFmtId="166" fontId="32" fillId="7" borderId="0" xfId="1" applyFont="1" applyFill="1" applyBorder="1" applyAlignment="1">
      <alignment horizontal="left" vertical="top" wrapText="1" indent="10"/>
    </xf>
    <xf numFmtId="166" fontId="33" fillId="0" borderId="0" xfId="1" applyFont="1" applyFill="1" applyAlignment="1">
      <alignment horizontal="left" vertical="center"/>
    </xf>
    <xf numFmtId="166" fontId="56" fillId="0" borderId="52" xfId="1" applyFont="1" applyFill="1" applyBorder="1" applyAlignment="1">
      <alignment horizontal="left" vertical="top" wrapText="1"/>
    </xf>
    <xf numFmtId="166" fontId="57" fillId="0" borderId="52" xfId="1" applyFont="1" applyFill="1" applyBorder="1" applyAlignment="1">
      <alignment horizontal="left" vertical="top" wrapText="1"/>
    </xf>
    <xf numFmtId="166" fontId="58" fillId="0" borderId="52" xfId="1" applyFont="1" applyFill="1" applyBorder="1" applyAlignment="1">
      <alignment horizontal="left" vertical="top" wrapText="1"/>
    </xf>
  </cellXfs>
  <cellStyles count="8">
    <cellStyle name="Excel Built-in Normal" xfId="1" xr:uid="{00000000-0005-0000-0000-000001000000}"/>
    <cellStyle name="Heading" xfId="2" xr:uid="{00000000-0005-0000-0000-000002000000}"/>
    <cellStyle name="Heading1" xfId="3" xr:uid="{00000000-0005-0000-0000-000003000000}"/>
    <cellStyle name="Migliaia" xfId="4" builtinId="3"/>
    <cellStyle name="Normale" xfId="0" builtinId="0"/>
    <cellStyle name="Percentuale" xfId="5" builtinId="5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1.0.5.163\ufficio\DESK%20PAOLO\TARIFFARI\PUBBLICITA'%20E%20DPA\TARIFFARI%20AUMENTI%20VARI\MODULO_TARIFFE_2019%2012-02-19%20automezzi%20senza%20au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MSUP20"/>
      <sheetName val="LEGGE"/>
    </sheetNames>
    <sheetDataSet>
      <sheetData sheetId="0"/>
      <sheetData sheetId="1">
        <row r="2">
          <cell r="A2" t="str">
            <v>I</v>
          </cell>
          <cell r="B2">
            <v>1.4460793174505622</v>
          </cell>
          <cell r="C2">
            <v>0.43382379523516867</v>
          </cell>
        </row>
        <row r="3">
          <cell r="A3" t="str">
            <v>II</v>
          </cell>
          <cell r="B3">
            <v>1.3427879376326648</v>
          </cell>
          <cell r="C3">
            <v>0.40283638128979948</v>
          </cell>
        </row>
        <row r="4">
          <cell r="A4" t="str">
            <v>III</v>
          </cell>
          <cell r="B4">
            <v>1.2394965578147676</v>
          </cell>
          <cell r="C4">
            <v>0.37184896734443029</v>
          </cell>
        </row>
        <row r="5">
          <cell r="A5" t="str">
            <v>IV</v>
          </cell>
          <cell r="B5">
            <v>1.1362051779968703</v>
          </cell>
          <cell r="C5">
            <v>0.3408615533990611</v>
          </cell>
        </row>
        <row r="6">
          <cell r="A6" t="str">
            <v>V</v>
          </cell>
          <cell r="B6">
            <v>1.0329137981789729</v>
          </cell>
          <cell r="C6">
            <v>0.30987413945369191</v>
          </cell>
        </row>
        <row r="9">
          <cell r="A9" t="str">
            <v>I</v>
          </cell>
          <cell r="B9">
            <v>19.625362165400485</v>
          </cell>
        </row>
        <row r="10">
          <cell r="A10" t="str">
            <v>II</v>
          </cell>
          <cell r="B10">
            <v>17.55953456904254</v>
          </cell>
        </row>
        <row r="11">
          <cell r="A11" t="str">
            <v>III</v>
          </cell>
          <cell r="B11">
            <v>15.493706972684596</v>
          </cell>
        </row>
        <row r="12">
          <cell r="A12" t="str">
            <v>IV</v>
          </cell>
          <cell r="B12">
            <v>13.427879376326649</v>
          </cell>
        </row>
        <row r="13">
          <cell r="A13" t="str">
            <v>V</v>
          </cell>
          <cell r="B13">
            <v>11.362051779968702</v>
          </cell>
        </row>
        <row r="16">
          <cell r="A16" t="str">
            <v>;AUTOVEICOLI CON PORTATA SUPERIORE A 30  q.li</v>
          </cell>
          <cell r="B16">
            <v>74.369793468886058</v>
          </cell>
        </row>
        <row r="17">
          <cell r="A17" t="str">
            <v>;RIMORCHI CON  PORTATA SUPERIORE A 30 q.li</v>
          </cell>
          <cell r="B17">
            <v>74.369793468886058</v>
          </cell>
        </row>
        <row r="18">
          <cell r="A18" t="str">
            <v>;AUTOVEICOLI CON PORTATA INFERIORE A 30 q.li</v>
          </cell>
          <cell r="B18">
            <v>49.579862312590706</v>
          </cell>
        </row>
        <row r="19">
          <cell r="A19" t="str">
            <v>;RIMORCHI CON PORTATA INFERIORE A 30 q.li</v>
          </cell>
          <cell r="B19">
            <v>49.579862312590706</v>
          </cell>
        </row>
        <row r="20">
          <cell r="A20" t="str">
            <v>;MOTOVEICOLI E VEICOLI  NON COMPRESI NELLE PRECEDENTI CATEGORIE</v>
          </cell>
          <cell r="B20">
            <v>24.789931156295353</v>
          </cell>
        </row>
        <row r="23">
          <cell r="A23" t="str">
            <v>I</v>
          </cell>
          <cell r="B23">
            <v>66.106483083454265</v>
          </cell>
        </row>
        <row r="24">
          <cell r="A24" t="str">
            <v>II</v>
          </cell>
          <cell r="B24">
            <v>57.843172698022485</v>
          </cell>
        </row>
        <row r="25">
          <cell r="A25" t="str">
            <v>III</v>
          </cell>
          <cell r="B25">
            <v>49.579862312590706</v>
          </cell>
        </row>
        <row r="26">
          <cell r="A26" t="str">
            <v>IV</v>
          </cell>
          <cell r="B26">
            <v>41.316551927158919</v>
          </cell>
        </row>
        <row r="27">
          <cell r="A27" t="str">
            <v>V</v>
          </cell>
          <cell r="B27">
            <v>33.053241541727132</v>
          </cell>
        </row>
        <row r="30">
          <cell r="A30" t="str">
            <v>I</v>
          </cell>
          <cell r="B30">
            <v>4.1316551927158915</v>
          </cell>
        </row>
        <row r="31">
          <cell r="A31" t="str">
            <v>II</v>
          </cell>
          <cell r="B31">
            <v>3.6151982936264053</v>
          </cell>
        </row>
        <row r="32">
          <cell r="A32" t="str">
            <v>III</v>
          </cell>
          <cell r="B32">
            <v>3.0987413945369191</v>
          </cell>
        </row>
        <row r="33">
          <cell r="A33" t="str">
            <v>IV</v>
          </cell>
          <cell r="B33">
            <v>2.5822844954474324</v>
          </cell>
        </row>
        <row r="34">
          <cell r="A34" t="str">
            <v>V</v>
          </cell>
          <cell r="B34">
            <v>2.0658275963579458</v>
          </cell>
        </row>
        <row r="37">
          <cell r="A37" t="str">
            <v>I</v>
          </cell>
          <cell r="B37">
            <v>19.625362165400485</v>
          </cell>
          <cell r="C37">
            <v>99.159724625181411</v>
          </cell>
          <cell r="D37">
            <v>49.579862312590706</v>
          </cell>
          <cell r="E37">
            <v>4.1316551927158915</v>
          </cell>
          <cell r="F37">
            <v>12.394965578147676</v>
          </cell>
        </row>
        <row r="38">
          <cell r="A38" t="str">
            <v>II</v>
          </cell>
          <cell r="B38">
            <v>17.55953456904254</v>
          </cell>
          <cell r="C38">
            <v>86.764759047033735</v>
          </cell>
          <cell r="D38">
            <v>43.382379523516867</v>
          </cell>
          <cell r="E38">
            <v>3.6151982936264053</v>
          </cell>
          <cell r="F38">
            <v>10.845594880879217</v>
          </cell>
        </row>
        <row r="39">
          <cell r="A39" t="str">
            <v>III</v>
          </cell>
          <cell r="B39">
            <v>15.493706972684596</v>
          </cell>
          <cell r="C39">
            <v>74.369793468886058</v>
          </cell>
          <cell r="D39">
            <v>37.184896734443029</v>
          </cell>
          <cell r="E39">
            <v>3.0987413945369191</v>
          </cell>
          <cell r="F39">
            <v>9.2962241836107573</v>
          </cell>
        </row>
        <row r="40">
          <cell r="A40" t="str">
            <v>IV</v>
          </cell>
          <cell r="B40">
            <v>13.427879376326649</v>
          </cell>
          <cell r="C40">
            <v>61.974827890738382</v>
          </cell>
          <cell r="D40">
            <v>30.987413945369191</v>
          </cell>
          <cell r="E40">
            <v>2.5822844954474324</v>
          </cell>
          <cell r="F40">
            <v>7.7468534863422978</v>
          </cell>
        </row>
        <row r="41">
          <cell r="A41" t="str">
            <v>V</v>
          </cell>
          <cell r="B41">
            <v>11.362051779968702</v>
          </cell>
          <cell r="C41">
            <v>49.579862312590706</v>
          </cell>
          <cell r="D41">
            <v>24.789931156295353</v>
          </cell>
          <cell r="E41">
            <v>2.0658275963579458</v>
          </cell>
          <cell r="F41">
            <v>6.1974827890738382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workbookViewId="0">
      <selection activeCell="B14" sqref="B14"/>
    </sheetView>
  </sheetViews>
  <sheetFormatPr defaultRowHeight="14.25"/>
  <cols>
    <col min="1" max="1" width="42" customWidth="1"/>
    <col min="2" max="2" width="9.5" bestFit="1" customWidth="1"/>
  </cols>
  <sheetData>
    <row r="1" spans="1:2" ht="15">
      <c r="A1" s="274" t="s">
        <v>0</v>
      </c>
      <c r="B1" s="274"/>
    </row>
    <row r="2" spans="1:2" ht="15">
      <c r="A2" s="272" t="s">
        <v>1</v>
      </c>
      <c r="B2" s="272" t="s">
        <v>2</v>
      </c>
    </row>
    <row r="3" spans="1:2">
      <c r="A3" s="22" t="s">
        <v>3</v>
      </c>
      <c r="B3" s="22" t="s">
        <v>4</v>
      </c>
    </row>
    <row r="4" spans="1:2">
      <c r="A4" s="22" t="s">
        <v>5</v>
      </c>
      <c r="B4" s="22" t="s">
        <v>6</v>
      </c>
    </row>
    <row r="5" spans="1:2">
      <c r="A5" s="22" t="s">
        <v>7</v>
      </c>
      <c r="B5" s="22" t="s">
        <v>8</v>
      </c>
    </row>
    <row r="6" spans="1:2">
      <c r="A6" s="22" t="s">
        <v>9</v>
      </c>
      <c r="B6" s="22" t="s">
        <v>10</v>
      </c>
    </row>
    <row r="7" spans="1:2">
      <c r="A7" s="22" t="s">
        <v>11</v>
      </c>
      <c r="B7" s="22" t="s">
        <v>12</v>
      </c>
    </row>
    <row r="9" spans="1:2" ht="15">
      <c r="A9" s="274" t="s">
        <v>13</v>
      </c>
      <c r="B9" s="274"/>
    </row>
    <row r="10" spans="1:2" ht="15">
      <c r="A10" s="272" t="s">
        <v>1</v>
      </c>
      <c r="B10" s="272" t="s">
        <v>2</v>
      </c>
    </row>
    <row r="11" spans="1:2">
      <c r="A11" s="22" t="s">
        <v>3</v>
      </c>
      <c r="B11" s="22" t="s">
        <v>14</v>
      </c>
    </row>
    <row r="12" spans="1:2">
      <c r="A12" s="22" t="s">
        <v>5</v>
      </c>
      <c r="B12" s="22" t="s">
        <v>15</v>
      </c>
    </row>
    <row r="13" spans="1:2">
      <c r="A13" s="22" t="s">
        <v>7</v>
      </c>
      <c r="B13" s="22" t="s">
        <v>16</v>
      </c>
    </row>
    <row r="14" spans="1:2">
      <c r="A14" s="22" t="s">
        <v>9</v>
      </c>
      <c r="B14" s="22" t="s">
        <v>17</v>
      </c>
    </row>
    <row r="15" spans="1:2">
      <c r="A15" s="22" t="s">
        <v>11</v>
      </c>
      <c r="B15" s="22" t="s">
        <v>18</v>
      </c>
    </row>
    <row r="19" spans="1:1">
      <c r="A19" s="165" t="s">
        <v>19</v>
      </c>
    </row>
    <row r="20" spans="1:1">
      <c r="A20" s="165" t="s">
        <v>20</v>
      </c>
    </row>
    <row r="21" spans="1:1">
      <c r="A21" s="165" t="s">
        <v>21</v>
      </c>
    </row>
  </sheetData>
  <mergeCells count="2">
    <mergeCell ref="A1:B1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3"/>
  <sheetViews>
    <sheetView tabSelected="1" topLeftCell="A32" workbookViewId="0">
      <selection activeCell="H39" sqref="H39"/>
    </sheetView>
  </sheetViews>
  <sheetFormatPr defaultColWidth="10" defaultRowHeight="14.25"/>
  <cols>
    <col min="1" max="1" width="26" style="23" customWidth="1"/>
    <col min="2" max="2" width="4.125" style="23" customWidth="1"/>
    <col min="3" max="3" width="9.75" style="23" customWidth="1"/>
    <col min="4" max="4" width="12.25" style="23" customWidth="1"/>
    <col min="5" max="5" width="9.75" style="23" customWidth="1"/>
    <col min="6" max="6" width="10" style="23" customWidth="1"/>
    <col min="7" max="7" width="14" style="23" customWidth="1"/>
    <col min="8" max="8" width="12.25" style="23" customWidth="1"/>
    <col min="9" max="16384" width="10" style="23"/>
  </cols>
  <sheetData>
    <row r="1" spans="1:7">
      <c r="A1" s="281" t="s">
        <v>22</v>
      </c>
      <c r="B1" s="281"/>
      <c r="C1" s="281"/>
      <c r="D1" s="281"/>
      <c r="E1" s="281"/>
      <c r="F1" s="281"/>
      <c r="G1" s="281"/>
    </row>
    <row r="2" spans="1:7">
      <c r="A2" s="281" t="s">
        <v>23</v>
      </c>
      <c r="B2" s="281"/>
      <c r="C2" s="281"/>
      <c r="D2" s="281"/>
      <c r="E2" s="281"/>
      <c r="F2" s="281"/>
      <c r="G2" s="281"/>
    </row>
    <row r="3" spans="1:7">
      <c r="A3" s="24"/>
      <c r="B3" s="25"/>
      <c r="C3" s="26" t="s">
        <v>24</v>
      </c>
      <c r="D3" s="27"/>
      <c r="E3" s="27"/>
      <c r="F3" s="27"/>
      <c r="G3" s="27"/>
    </row>
    <row r="4" spans="1:7">
      <c r="A4" s="281" t="s">
        <v>25</v>
      </c>
      <c r="B4" s="281"/>
      <c r="C4" s="281"/>
      <c r="D4" s="281"/>
      <c r="E4" s="281"/>
      <c r="F4" s="281"/>
      <c r="G4" s="281"/>
    </row>
    <row r="5" spans="1:7" ht="12" customHeight="1">
      <c r="A5" s="282" t="s">
        <v>26</v>
      </c>
      <c r="B5" s="282"/>
      <c r="C5" s="282"/>
      <c r="D5" s="282"/>
      <c r="E5" s="282"/>
      <c r="F5" s="282"/>
      <c r="G5" s="282"/>
    </row>
    <row r="6" spans="1:7" ht="26.25">
      <c r="A6" s="283" t="s">
        <v>27</v>
      </c>
      <c r="B6" s="283"/>
      <c r="C6" s="283"/>
      <c r="D6" s="283"/>
      <c r="E6" s="283"/>
      <c r="F6" s="283"/>
      <c r="G6" s="283"/>
    </row>
    <row r="7" spans="1:7">
      <c r="A7" s="28"/>
      <c r="B7" s="28"/>
      <c r="C7" s="27"/>
      <c r="D7" s="27"/>
      <c r="E7" s="27"/>
      <c r="F7" s="27"/>
      <c r="G7" s="27"/>
    </row>
    <row r="8" spans="1:7">
      <c r="A8" s="29" t="s">
        <v>28</v>
      </c>
      <c r="B8" s="30" t="str">
        <f>'CONVERTITORE TARIFFE CANONE'!B2</f>
        <v>IV</v>
      </c>
      <c r="C8" s="31"/>
      <c r="D8" s="32"/>
      <c r="E8" s="29" t="s">
        <v>29</v>
      </c>
      <c r="F8" s="33">
        <f>'CONVERTITORE TARIFFE CANONE'!B4</f>
        <v>0</v>
      </c>
      <c r="G8" s="34"/>
    </row>
    <row r="9" spans="1:7">
      <c r="A9" s="35" t="s">
        <v>30</v>
      </c>
      <c r="B9" s="36"/>
      <c r="C9" s="37">
        <f>'CONVERTITORE TARIFFE CANONE'!B3</f>
        <v>0.3</v>
      </c>
      <c r="D9" s="38"/>
      <c r="E9" s="36"/>
      <c r="F9" s="39"/>
      <c r="G9" s="40"/>
    </row>
    <row r="10" spans="1:7">
      <c r="A10" s="27"/>
      <c r="B10" s="27"/>
      <c r="C10" s="27"/>
      <c r="D10" s="27"/>
      <c r="E10" s="27"/>
      <c r="F10" s="27"/>
      <c r="G10" s="27"/>
    </row>
    <row r="11" spans="1:7" ht="15.75">
      <c r="A11" s="27" t="s">
        <v>31</v>
      </c>
      <c r="B11" s="27"/>
      <c r="C11" s="27"/>
      <c r="D11" s="27"/>
      <c r="E11" s="27"/>
      <c r="F11" s="27"/>
      <c r="G11" s="27"/>
    </row>
    <row r="12" spans="1:7">
      <c r="A12" s="27"/>
      <c r="B12" s="27"/>
      <c r="C12" s="27"/>
      <c r="D12" s="27"/>
      <c r="E12" s="27"/>
      <c r="F12" s="27"/>
      <c r="G12" s="27"/>
    </row>
    <row r="13" spans="1:7" ht="33.75">
      <c r="A13" s="41"/>
      <c r="B13" s="42"/>
      <c r="C13" s="43"/>
      <c r="D13" s="43"/>
      <c r="E13" s="42"/>
      <c r="F13" s="44" t="s">
        <v>32</v>
      </c>
      <c r="G13" s="44" t="s">
        <v>33</v>
      </c>
    </row>
    <row r="14" spans="1:7">
      <c r="A14" s="41" t="s">
        <v>34</v>
      </c>
      <c r="B14" s="42"/>
      <c r="C14" s="43"/>
      <c r="D14" s="43"/>
      <c r="E14" s="42"/>
      <c r="F14" s="171">
        <f>VLOOKUP($B$8,[1]LEGGE!$A$2:$C$6,2)</f>
        <v>1.1362051779968703</v>
      </c>
      <c r="G14" s="45">
        <f>F14*(1+$C$9)</f>
        <v>1.4770667313959314</v>
      </c>
    </row>
    <row r="15" spans="1:7" ht="38.25">
      <c r="A15" s="46" t="s">
        <v>35</v>
      </c>
      <c r="B15" s="42"/>
      <c r="C15" s="43"/>
      <c r="D15" s="43"/>
      <c r="E15" s="42"/>
      <c r="F15" s="171">
        <f>VLOOKUP($B$8,[1]LEGGE!$A$2:$C$6,3)</f>
        <v>0.3408615533990611</v>
      </c>
      <c r="G15" s="45">
        <f>F15*(1+$C$9)</f>
        <v>0.44312001941877943</v>
      </c>
    </row>
    <row r="16" spans="1:7">
      <c r="A16" s="26"/>
      <c r="B16" s="26"/>
      <c r="C16" s="27"/>
      <c r="D16" s="27"/>
      <c r="E16" s="27"/>
      <c r="F16" s="27"/>
      <c r="G16" s="27"/>
    </row>
    <row r="17" spans="1:7">
      <c r="A17" s="27" t="s">
        <v>36</v>
      </c>
      <c r="B17" s="47" t="s">
        <v>37</v>
      </c>
      <c r="C17" s="48"/>
      <c r="D17" s="49">
        <v>1</v>
      </c>
      <c r="E17" s="24"/>
      <c r="F17" s="24"/>
      <c r="G17" s="24"/>
    </row>
    <row r="18" spans="1:7">
      <c r="A18" s="27" t="s">
        <v>38</v>
      </c>
      <c r="B18" s="47" t="s">
        <v>39</v>
      </c>
      <c r="C18" s="47"/>
      <c r="D18" s="49">
        <v>2</v>
      </c>
      <c r="E18" s="24"/>
      <c r="F18" s="24"/>
      <c r="G18" s="24"/>
    </row>
    <row r="19" spans="1:7">
      <c r="A19" s="27" t="s">
        <v>40</v>
      </c>
      <c r="B19" s="47" t="s">
        <v>41</v>
      </c>
      <c r="C19" s="47"/>
      <c r="D19" s="49">
        <v>4</v>
      </c>
      <c r="E19" s="24"/>
      <c r="F19" s="24"/>
      <c r="G19" s="24"/>
    </row>
    <row r="20" spans="1:7">
      <c r="A20" s="27" t="s">
        <v>42</v>
      </c>
      <c r="B20" s="47" t="s">
        <v>43</v>
      </c>
      <c r="C20" s="47"/>
      <c r="D20" s="49">
        <v>24</v>
      </c>
      <c r="E20" s="24"/>
      <c r="F20" s="24"/>
      <c r="G20" s="24"/>
    </row>
    <row r="21" spans="1:7">
      <c r="A21" s="27"/>
      <c r="B21" s="27"/>
      <c r="C21" s="27"/>
      <c r="D21" s="27"/>
      <c r="E21" s="27"/>
      <c r="F21" s="27"/>
      <c r="G21" s="27"/>
    </row>
    <row r="22" spans="1:7">
      <c r="A22" s="27"/>
      <c r="B22" s="27"/>
      <c r="C22" s="27"/>
      <c r="D22" s="27"/>
      <c r="E22" s="27"/>
      <c r="F22" s="27"/>
      <c r="G22" s="27"/>
    </row>
    <row r="23" spans="1:7">
      <c r="A23" s="50" t="s">
        <v>44</v>
      </c>
      <c r="B23" s="51"/>
      <c r="C23" s="52">
        <v>10</v>
      </c>
      <c r="D23" s="52">
        <v>15</v>
      </c>
      <c r="E23" s="52">
        <v>20</v>
      </c>
      <c r="F23" s="52">
        <v>25</v>
      </c>
      <c r="G23" s="52">
        <v>30</v>
      </c>
    </row>
    <row r="24" spans="1:7">
      <c r="A24" s="27"/>
      <c r="B24" s="27"/>
      <c r="C24" s="27"/>
      <c r="D24" s="27"/>
      <c r="E24" s="27"/>
      <c r="F24" s="27"/>
      <c r="G24" s="27"/>
    </row>
    <row r="25" spans="1:7">
      <c r="A25" s="164" t="s">
        <v>32</v>
      </c>
      <c r="B25" s="167"/>
      <c r="C25" s="168">
        <f>$F$14</f>
        <v>1.1362051779968703</v>
      </c>
      <c r="D25" s="168">
        <f>C25+$F$15</f>
        <v>1.4770667313959314</v>
      </c>
      <c r="E25" s="168">
        <f>D25+$F$15</f>
        <v>1.8179282847949925</v>
      </c>
      <c r="F25" s="168">
        <f>E25+$F$15</f>
        <v>2.1587898381940533</v>
      </c>
      <c r="G25" s="168">
        <f>F25+$F$15</f>
        <v>2.4996513915931144</v>
      </c>
    </row>
    <row r="26" spans="1:7">
      <c r="A26" s="41" t="s">
        <v>33</v>
      </c>
      <c r="B26" s="42"/>
      <c r="C26" s="53">
        <f>$G$14</f>
        <v>1.4770667313959314</v>
      </c>
      <c r="D26" s="53">
        <f>C26+$G$15</f>
        <v>1.9201867508147108</v>
      </c>
      <c r="E26" s="53">
        <f>D26+$G$15</f>
        <v>2.36330677023349</v>
      </c>
      <c r="F26" s="53">
        <f>E26+$G$15</f>
        <v>2.8064267896522694</v>
      </c>
      <c r="G26" s="53">
        <f>F26+$G$15</f>
        <v>3.2495468090710489</v>
      </c>
    </row>
    <row r="27" spans="1:7">
      <c r="A27" s="169" t="s">
        <v>45</v>
      </c>
      <c r="B27" s="170"/>
      <c r="C27" s="171">
        <f t="shared" ref="C27:G28" si="0">C25*(1+$F$8)</f>
        <v>1.1362051779968703</v>
      </c>
      <c r="D27" s="171">
        <f t="shared" si="0"/>
        <v>1.4770667313959314</v>
      </c>
      <c r="E27" s="171">
        <f t="shared" si="0"/>
        <v>1.8179282847949925</v>
      </c>
      <c r="F27" s="171">
        <f t="shared" si="0"/>
        <v>2.1587898381940533</v>
      </c>
      <c r="G27" s="171">
        <f t="shared" si="0"/>
        <v>2.4996513915931144</v>
      </c>
    </row>
    <row r="28" spans="1:7">
      <c r="A28" s="54" t="s">
        <v>46</v>
      </c>
      <c r="B28" s="55"/>
      <c r="C28" s="45">
        <f t="shared" si="0"/>
        <v>1.4770667313959314</v>
      </c>
      <c r="D28" s="45">
        <f t="shared" si="0"/>
        <v>1.9201867508147108</v>
      </c>
      <c r="E28" s="45">
        <f t="shared" si="0"/>
        <v>2.36330677023349</v>
      </c>
      <c r="F28" s="45">
        <f t="shared" si="0"/>
        <v>2.8064267896522694</v>
      </c>
      <c r="G28" s="45">
        <f t="shared" si="0"/>
        <v>3.2495468090710489</v>
      </c>
    </row>
    <row r="29" spans="1:7">
      <c r="A29" s="27"/>
      <c r="B29" s="27"/>
      <c r="C29" s="27"/>
      <c r="D29" s="27"/>
      <c r="E29" s="27"/>
      <c r="F29" s="27"/>
      <c r="G29" s="27"/>
    </row>
    <row r="30" spans="1:7">
      <c r="A30" s="56" t="s">
        <v>47</v>
      </c>
      <c r="B30" s="27"/>
      <c r="C30" s="27"/>
      <c r="D30" s="27"/>
      <c r="E30" s="27"/>
      <c r="F30" s="27"/>
      <c r="G30" s="27"/>
    </row>
    <row r="31" spans="1:7" ht="15.75">
      <c r="A31" s="27" t="s">
        <v>48</v>
      </c>
      <c r="B31" s="27"/>
      <c r="C31" s="27"/>
      <c r="D31" s="27"/>
      <c r="E31" s="27"/>
      <c r="F31" s="27"/>
      <c r="G31" s="27"/>
    </row>
    <row r="32" spans="1:7" ht="15.75">
      <c r="A32" s="27" t="s">
        <v>49</v>
      </c>
      <c r="B32" s="27"/>
      <c r="C32" s="27"/>
      <c r="D32" s="27"/>
      <c r="E32" s="27"/>
      <c r="F32" s="27"/>
      <c r="G32" s="27"/>
    </row>
    <row r="33" spans="1:7" ht="15.75">
      <c r="A33" s="27" t="s">
        <v>50</v>
      </c>
      <c r="B33" s="27"/>
      <c r="C33" s="27"/>
      <c r="D33" s="27"/>
      <c r="E33" s="27"/>
      <c r="F33" s="27"/>
      <c r="G33" s="27"/>
    </row>
    <row r="34" spans="1:7">
      <c r="A34" s="27"/>
      <c r="B34" s="27"/>
      <c r="C34" s="27"/>
      <c r="D34" s="27"/>
      <c r="E34" s="27"/>
      <c r="F34" s="27"/>
      <c r="G34" s="27"/>
    </row>
    <row r="35" spans="1:7">
      <c r="A35" s="27"/>
      <c r="B35" s="27"/>
      <c r="C35" s="27"/>
      <c r="D35" s="27"/>
      <c r="E35" s="27"/>
      <c r="F35" s="27"/>
      <c r="G35" s="27"/>
    </row>
    <row r="36" spans="1:7">
      <c r="A36" s="27" t="s">
        <v>51</v>
      </c>
      <c r="B36" s="27"/>
      <c r="C36" s="24"/>
      <c r="D36" s="27">
        <v>25.82</v>
      </c>
      <c r="E36" s="24"/>
      <c r="F36" s="27"/>
      <c r="G36" s="27"/>
    </row>
    <row r="37" spans="1:7">
      <c r="A37" s="27"/>
      <c r="B37" s="27"/>
      <c r="C37" s="24"/>
      <c r="D37" s="27"/>
      <c r="E37" s="24"/>
      <c r="F37" s="27"/>
      <c r="G37" s="27"/>
    </row>
    <row r="38" spans="1:7">
      <c r="A38" s="27"/>
      <c r="B38" s="27"/>
      <c r="C38" s="24"/>
      <c r="D38" s="27"/>
      <c r="E38" s="24"/>
      <c r="F38" s="27"/>
      <c r="G38" s="27"/>
    </row>
    <row r="39" spans="1:7" ht="57" customHeight="1">
      <c r="A39" s="275" t="s">
        <v>52</v>
      </c>
      <c r="B39" s="276"/>
      <c r="C39" s="276"/>
      <c r="D39" s="276"/>
      <c r="E39" s="276"/>
      <c r="F39" s="276"/>
      <c r="G39" s="277"/>
    </row>
    <row r="40" spans="1:7">
      <c r="A40" s="278"/>
      <c r="B40" s="279"/>
      <c r="C40" s="279"/>
      <c r="D40" s="279"/>
      <c r="E40" s="279"/>
      <c r="F40" s="279"/>
      <c r="G40" s="280"/>
    </row>
    <row r="41" spans="1:7">
      <c r="A41" s="27"/>
      <c r="B41" s="27"/>
      <c r="C41" s="24"/>
      <c r="D41" s="27"/>
      <c r="E41" s="24"/>
      <c r="F41" s="27"/>
      <c r="G41" s="27"/>
    </row>
    <row r="42" spans="1:7">
      <c r="A42" s="27"/>
      <c r="B42" s="27"/>
      <c r="C42" s="24"/>
      <c r="D42" s="27"/>
      <c r="E42" s="24"/>
      <c r="F42" s="27"/>
      <c r="G42" s="27"/>
    </row>
    <row r="43" spans="1:7">
      <c r="A43" s="27"/>
      <c r="B43" s="27"/>
      <c r="C43" s="24"/>
      <c r="D43" s="27"/>
      <c r="E43" s="24"/>
      <c r="F43" s="27"/>
      <c r="G43" s="27"/>
    </row>
    <row r="44" spans="1:7">
      <c r="A44" s="281" t="s">
        <v>53</v>
      </c>
      <c r="B44" s="281"/>
      <c r="C44" s="281"/>
      <c r="D44" s="281"/>
      <c r="E44" s="281"/>
      <c r="F44" s="281"/>
      <c r="G44" s="281"/>
    </row>
    <row r="45" spans="1:7">
      <c r="A45" s="281" t="s">
        <v>23</v>
      </c>
      <c r="B45" s="281"/>
      <c r="C45" s="281"/>
      <c r="D45" s="281"/>
      <c r="E45" s="281"/>
      <c r="F45" s="281"/>
      <c r="G45" s="281"/>
    </row>
    <row r="46" spans="1:7">
      <c r="A46" s="24"/>
      <c r="B46" s="25"/>
      <c r="C46" s="26" t="s">
        <v>24</v>
      </c>
      <c r="D46" s="27"/>
      <c r="E46" s="27"/>
      <c r="F46" s="27"/>
      <c r="G46" s="27"/>
    </row>
    <row r="47" spans="1:7">
      <c r="A47" s="281" t="s">
        <v>25</v>
      </c>
      <c r="B47" s="281"/>
      <c r="C47" s="281"/>
      <c r="D47" s="281"/>
      <c r="E47" s="281"/>
      <c r="F47" s="281"/>
      <c r="G47" s="281"/>
    </row>
    <row r="48" spans="1:7" ht="12" customHeight="1">
      <c r="A48" s="282" t="s">
        <v>26</v>
      </c>
      <c r="B48" s="282"/>
      <c r="C48" s="282"/>
      <c r="D48" s="282"/>
      <c r="E48" s="282"/>
      <c r="F48" s="282"/>
      <c r="G48" s="282"/>
    </row>
    <row r="49" spans="1:8">
      <c r="A49" s="25"/>
      <c r="B49" s="25"/>
      <c r="C49" s="27"/>
      <c r="D49" s="27"/>
      <c r="E49" s="27"/>
      <c r="F49" s="27"/>
      <c r="G49" s="27"/>
    </row>
    <row r="50" spans="1:8">
      <c r="A50" s="57" t="str">
        <f>A8</f>
        <v>COMUNE DI CLASSE</v>
      </c>
      <c r="B50" s="58" t="str">
        <f>B8</f>
        <v>IV</v>
      </c>
      <c r="C50" s="59"/>
      <c r="D50" s="60"/>
      <c r="E50" s="61" t="s">
        <v>29</v>
      </c>
      <c r="F50" s="62">
        <f>F8</f>
        <v>0</v>
      </c>
      <c r="G50" s="63"/>
    </row>
    <row r="51" spans="1:8">
      <c r="A51" s="35" t="s">
        <v>30</v>
      </c>
      <c r="B51" s="64"/>
      <c r="C51" s="65">
        <f>C9</f>
        <v>0.3</v>
      </c>
      <c r="D51" s="66" t="s">
        <v>54</v>
      </c>
      <c r="E51" s="67"/>
      <c r="F51" s="67"/>
      <c r="G51" s="27"/>
    </row>
    <row r="52" spans="1:8">
      <c r="A52" s="35" t="s">
        <v>55</v>
      </c>
      <c r="B52" s="64"/>
      <c r="C52" s="65">
        <v>1</v>
      </c>
      <c r="D52" s="66"/>
      <c r="E52" s="67"/>
      <c r="F52" s="67"/>
      <c r="G52" s="27"/>
    </row>
    <row r="53" spans="1:8">
      <c r="A53" s="68"/>
      <c r="B53" s="69"/>
      <c r="C53" s="70"/>
      <c r="D53" s="71"/>
      <c r="E53" s="27"/>
      <c r="F53" s="27"/>
      <c r="G53" s="27"/>
    </row>
    <row r="54" spans="1:8" ht="15.75">
      <c r="A54" s="27" t="s">
        <v>56</v>
      </c>
      <c r="B54" s="27"/>
      <c r="C54" s="27"/>
      <c r="D54" s="27"/>
      <c r="E54" s="27"/>
      <c r="F54" s="27"/>
      <c r="G54" s="27"/>
    </row>
    <row r="55" spans="1:8">
      <c r="A55" s="27"/>
      <c r="B55" s="27"/>
      <c r="C55" s="27"/>
      <c r="D55" s="27"/>
      <c r="E55" s="27"/>
      <c r="F55" s="27"/>
      <c r="G55" s="27"/>
    </row>
    <row r="56" spans="1:8" ht="23.25" thickBot="1">
      <c r="A56" s="72" t="s">
        <v>57</v>
      </c>
      <c r="B56" s="72"/>
      <c r="C56" s="73" t="s">
        <v>58</v>
      </c>
      <c r="D56" s="73" t="s">
        <v>59</v>
      </c>
      <c r="E56" s="73" t="s">
        <v>60</v>
      </c>
      <c r="F56" s="74" t="s">
        <v>61</v>
      </c>
      <c r="G56" s="73" t="s">
        <v>62</v>
      </c>
      <c r="H56" s="75"/>
    </row>
    <row r="57" spans="1:8" ht="26.85" customHeight="1">
      <c r="A57" s="186" t="s">
        <v>63</v>
      </c>
      <c r="B57" s="187"/>
      <c r="C57" s="188">
        <f t="shared" ref="C57:C64" si="1">F57/10</f>
        <v>1.3427879376326648</v>
      </c>
      <c r="D57" s="188">
        <f t="shared" ref="D57:D64" si="2">C57*2</f>
        <v>2.6855758752653296</v>
      </c>
      <c r="E57" s="188">
        <f t="shared" ref="E57:E64" si="3">C57*3</f>
        <v>4.0283638128979948</v>
      </c>
      <c r="F57" s="188">
        <f>VLOOKUP($B$50,[1]LEGGE!$A$9:$B$13,2,0)</f>
        <v>13.427879376326649</v>
      </c>
      <c r="G57" s="76"/>
      <c r="H57" s="77"/>
    </row>
    <row r="58" spans="1:8" ht="25.5">
      <c r="A58" s="78" t="s">
        <v>64</v>
      </c>
      <c r="B58" s="79"/>
      <c r="C58" s="80">
        <f t="shared" si="1"/>
        <v>1.7456243189224643</v>
      </c>
      <c r="D58" s="80">
        <f t="shared" si="2"/>
        <v>3.4912486378449286</v>
      </c>
      <c r="E58" s="80">
        <f t="shared" si="3"/>
        <v>5.2368729567673924</v>
      </c>
      <c r="F58" s="81">
        <f>F57*(1+$C$51)</f>
        <v>17.456243189224644</v>
      </c>
      <c r="G58" s="82"/>
      <c r="H58" s="83"/>
    </row>
    <row r="59" spans="1:8" ht="23.25" customHeight="1">
      <c r="A59" s="84" t="s">
        <v>65</v>
      </c>
      <c r="B59" s="85"/>
      <c r="C59" s="86">
        <f t="shared" si="1"/>
        <v>2.6184364783836966</v>
      </c>
      <c r="D59" s="86">
        <f t="shared" si="2"/>
        <v>5.2368729567673933</v>
      </c>
      <c r="E59" s="86">
        <f t="shared" si="3"/>
        <v>7.8553094351510904</v>
      </c>
      <c r="F59" s="86">
        <f>F58*(1+$G$59)</f>
        <v>26.184364783836966</v>
      </c>
      <c r="G59" s="87">
        <v>0.5</v>
      </c>
      <c r="H59" s="88"/>
    </row>
    <row r="60" spans="1:8" ht="25.5" customHeight="1" thickBot="1">
      <c r="A60" s="89" t="s">
        <v>66</v>
      </c>
      <c r="B60" s="90"/>
      <c r="C60" s="91">
        <f t="shared" si="1"/>
        <v>3.4912486378449286</v>
      </c>
      <c r="D60" s="91">
        <f t="shared" si="2"/>
        <v>6.9824972756898571</v>
      </c>
      <c r="E60" s="91">
        <f t="shared" si="3"/>
        <v>10.473745913534785</v>
      </c>
      <c r="F60" s="91">
        <f>F58*(1+$G60)</f>
        <v>34.912486378449287</v>
      </c>
      <c r="G60" s="92">
        <v>1</v>
      </c>
      <c r="H60" s="93"/>
    </row>
    <row r="61" spans="1:8" ht="23.85" customHeight="1" thickTop="1">
      <c r="A61" s="175" t="s">
        <v>67</v>
      </c>
      <c r="B61" s="176"/>
      <c r="C61" s="177">
        <f t="shared" si="1"/>
        <v>2.6855758752653296</v>
      </c>
      <c r="D61" s="177">
        <f t="shared" si="2"/>
        <v>5.3711517505306592</v>
      </c>
      <c r="E61" s="177">
        <f t="shared" si="3"/>
        <v>8.0567276257959897</v>
      </c>
      <c r="F61" s="177">
        <f>F57*(1+$C$52)</f>
        <v>26.855758752653298</v>
      </c>
      <c r="G61" s="94"/>
      <c r="H61" s="95"/>
    </row>
    <row r="62" spans="1:8" ht="25.5">
      <c r="A62" s="96" t="s">
        <v>68</v>
      </c>
      <c r="B62" s="97"/>
      <c r="C62" s="98">
        <f t="shared" si="1"/>
        <v>3.4912486378449286</v>
      </c>
      <c r="D62" s="98">
        <f t="shared" si="2"/>
        <v>6.9824972756898571</v>
      </c>
      <c r="E62" s="98">
        <f t="shared" si="3"/>
        <v>10.473745913534785</v>
      </c>
      <c r="F62" s="98">
        <f>F58*(1+$C$52)</f>
        <v>34.912486378449287</v>
      </c>
      <c r="G62" s="99"/>
      <c r="H62" s="100"/>
    </row>
    <row r="63" spans="1:8" ht="22.5" customHeight="1">
      <c r="A63" s="96" t="s">
        <v>69</v>
      </c>
      <c r="B63" s="97"/>
      <c r="C63" s="98">
        <f t="shared" si="1"/>
        <v>4.3640607973061609</v>
      </c>
      <c r="D63" s="98">
        <f t="shared" si="2"/>
        <v>8.7281215946123218</v>
      </c>
      <c r="E63" s="98">
        <f t="shared" si="3"/>
        <v>13.092182391918483</v>
      </c>
      <c r="F63" s="98">
        <f>F62+F58/2</f>
        <v>43.640607973061606</v>
      </c>
      <c r="G63" s="99"/>
      <c r="H63" s="100"/>
    </row>
    <row r="64" spans="1:8" ht="24.75" customHeight="1" thickBot="1">
      <c r="A64" s="101" t="s">
        <v>70</v>
      </c>
      <c r="B64" s="102"/>
      <c r="C64" s="103">
        <f t="shared" si="1"/>
        <v>5.2368729567673933</v>
      </c>
      <c r="D64" s="103">
        <f t="shared" si="2"/>
        <v>10.473745913534787</v>
      </c>
      <c r="E64" s="103">
        <f t="shared" si="3"/>
        <v>15.710618870302181</v>
      </c>
      <c r="F64" s="103">
        <f>F62+F58</f>
        <v>52.368729567673931</v>
      </c>
      <c r="G64" s="104"/>
      <c r="H64" s="105"/>
    </row>
    <row r="65" spans="1:8" ht="24.75" customHeight="1" thickBot="1">
      <c r="A65" s="285" t="s">
        <v>71</v>
      </c>
      <c r="B65" s="286"/>
      <c r="C65" s="286"/>
      <c r="D65" s="286"/>
      <c r="E65" s="286"/>
      <c r="F65" s="286"/>
      <c r="G65" s="286"/>
      <c r="H65" s="287"/>
    </row>
    <row r="66" spans="1:8" ht="26.85" customHeight="1">
      <c r="A66" s="172" t="s">
        <v>63</v>
      </c>
      <c r="B66" s="173"/>
      <c r="C66" s="174">
        <f t="shared" ref="C66:C73" si="4">F66/10</f>
        <v>1.3427879376326648</v>
      </c>
      <c r="D66" s="174">
        <f t="shared" ref="D66:D73" si="5">C66*2</f>
        <v>2.6855758752653296</v>
      </c>
      <c r="E66" s="174">
        <f t="shared" ref="E66:E73" si="6">C66*3</f>
        <v>4.0283638128979948</v>
      </c>
      <c r="F66" s="174">
        <f>$F$57*(1+F50)</f>
        <v>13.427879376326649</v>
      </c>
      <c r="G66" s="76"/>
      <c r="H66" s="77"/>
    </row>
    <row r="67" spans="1:8" ht="25.5">
      <c r="A67" s="78" t="s">
        <v>64</v>
      </c>
      <c r="B67" s="79"/>
      <c r="C67" s="80">
        <f t="shared" si="4"/>
        <v>1.7456243189224643</v>
      </c>
      <c r="D67" s="80">
        <f t="shared" si="5"/>
        <v>3.4912486378449286</v>
      </c>
      <c r="E67" s="80">
        <f t="shared" si="6"/>
        <v>5.2368729567673924</v>
      </c>
      <c r="F67" s="81">
        <f>F66*(1+$C$51)</f>
        <v>17.456243189224644</v>
      </c>
      <c r="G67" s="82"/>
      <c r="H67" s="83"/>
    </row>
    <row r="68" spans="1:8" ht="23.25" customHeight="1">
      <c r="A68" s="84" t="s">
        <v>65</v>
      </c>
      <c r="B68" s="85"/>
      <c r="C68" s="86">
        <f t="shared" si="4"/>
        <v>2.6184364783836966</v>
      </c>
      <c r="D68" s="86">
        <f t="shared" si="5"/>
        <v>5.2368729567673933</v>
      </c>
      <c r="E68" s="86">
        <f t="shared" si="6"/>
        <v>7.8553094351510904</v>
      </c>
      <c r="F68" s="86">
        <f>F58+(F58/2)+(F58*F50)</f>
        <v>26.184364783836966</v>
      </c>
      <c r="G68" s="87">
        <v>0.5</v>
      </c>
      <c r="H68" s="88"/>
    </row>
    <row r="69" spans="1:8" ht="25.5" customHeight="1" thickBot="1">
      <c r="A69" s="89" t="s">
        <v>66</v>
      </c>
      <c r="B69" s="90"/>
      <c r="C69" s="91">
        <f t="shared" si="4"/>
        <v>3.4912486378449286</v>
      </c>
      <c r="D69" s="91">
        <f t="shared" si="5"/>
        <v>6.9824972756898571</v>
      </c>
      <c r="E69" s="91">
        <f t="shared" si="6"/>
        <v>10.473745913534785</v>
      </c>
      <c r="F69" s="91">
        <f>F58+F58+(F58*F50)</f>
        <v>34.912486378449287</v>
      </c>
      <c r="G69" s="92">
        <v>1</v>
      </c>
      <c r="H69" s="93"/>
    </row>
    <row r="70" spans="1:8" ht="23.85" customHeight="1" thickTop="1">
      <c r="A70" s="175" t="s">
        <v>67</v>
      </c>
      <c r="B70" s="176"/>
      <c r="C70" s="177">
        <f t="shared" si="4"/>
        <v>2.6855758752653296</v>
      </c>
      <c r="D70" s="177">
        <f t="shared" si="5"/>
        <v>5.3711517505306592</v>
      </c>
      <c r="E70" s="177">
        <f t="shared" si="6"/>
        <v>8.0567276257959897</v>
      </c>
      <c r="F70" s="177">
        <f>F57+F57+(F57*F50)</f>
        <v>26.855758752653298</v>
      </c>
      <c r="G70" s="94"/>
      <c r="H70" s="95"/>
    </row>
    <row r="71" spans="1:8" ht="25.5">
      <c r="A71" s="96" t="s">
        <v>68</v>
      </c>
      <c r="B71" s="97"/>
      <c r="C71" s="98">
        <f t="shared" si="4"/>
        <v>3.4912486378449286</v>
      </c>
      <c r="D71" s="98">
        <f t="shared" si="5"/>
        <v>6.9824972756898571</v>
      </c>
      <c r="E71" s="98">
        <f t="shared" si="6"/>
        <v>10.473745913534785</v>
      </c>
      <c r="F71" s="98">
        <f>F58+F58+(F58*F50)</f>
        <v>34.912486378449287</v>
      </c>
      <c r="G71" s="99"/>
      <c r="H71" s="100"/>
    </row>
    <row r="72" spans="1:8" ht="22.5" customHeight="1">
      <c r="A72" s="96" t="s">
        <v>69</v>
      </c>
      <c r="B72" s="97"/>
      <c r="C72" s="98">
        <f t="shared" si="4"/>
        <v>4.3640607973061609</v>
      </c>
      <c r="D72" s="98">
        <f t="shared" si="5"/>
        <v>8.7281215946123218</v>
      </c>
      <c r="E72" s="98">
        <f t="shared" si="6"/>
        <v>13.092182391918483</v>
      </c>
      <c r="F72" s="98">
        <f>F58+F58+(F58*F50)+(F58*50%)</f>
        <v>43.640607973061606</v>
      </c>
      <c r="G72" s="99"/>
      <c r="H72" s="100"/>
    </row>
    <row r="73" spans="1:8" ht="24.75" customHeight="1" thickBot="1">
      <c r="A73" s="101" t="s">
        <v>70</v>
      </c>
      <c r="B73" s="102"/>
      <c r="C73" s="103">
        <f t="shared" si="4"/>
        <v>5.2368729567673933</v>
      </c>
      <c r="D73" s="103">
        <f t="shared" si="5"/>
        <v>10.473745913534787</v>
      </c>
      <c r="E73" s="103">
        <f t="shared" si="6"/>
        <v>15.710618870302181</v>
      </c>
      <c r="F73" s="103">
        <f>F58+F58+(F58*F50)+F58</f>
        <v>52.368729567673931</v>
      </c>
      <c r="G73" s="104"/>
      <c r="H73" s="105"/>
    </row>
    <row r="74" spans="1:8">
      <c r="A74" s="27" t="s">
        <v>72</v>
      </c>
      <c r="B74" s="27"/>
      <c r="C74" s="27"/>
      <c r="D74" s="27"/>
      <c r="E74" s="27"/>
      <c r="F74" s="27"/>
      <c r="G74" s="27"/>
    </row>
    <row r="75" spans="1:8">
      <c r="A75" s="27" t="s">
        <v>73</v>
      </c>
      <c r="B75" s="106"/>
      <c r="C75" s="106"/>
      <c r="D75" s="106"/>
      <c r="E75" s="106"/>
      <c r="F75" s="106"/>
      <c r="G75" s="106"/>
    </row>
    <row r="76" spans="1:8">
      <c r="A76" s="106" t="s">
        <v>74</v>
      </c>
      <c r="B76" s="106"/>
      <c r="C76" s="106"/>
      <c r="D76" s="106"/>
      <c r="E76" s="106"/>
      <c r="F76" s="106"/>
      <c r="G76" s="106"/>
    </row>
    <row r="77" spans="1:8">
      <c r="A77" s="27" t="s">
        <v>75</v>
      </c>
      <c r="B77" s="106"/>
      <c r="C77" s="106"/>
      <c r="D77" s="106"/>
      <c r="E77" s="106"/>
      <c r="F77" s="106"/>
      <c r="G77" s="106"/>
    </row>
    <row r="78" spans="1:8">
      <c r="A78" s="28" t="s">
        <v>76</v>
      </c>
      <c r="B78" s="107"/>
      <c r="C78" s="106"/>
      <c r="D78" s="106"/>
      <c r="E78" s="106"/>
      <c r="F78" s="106"/>
      <c r="G78" s="106"/>
    </row>
    <row r="79" spans="1:8">
      <c r="A79" s="27"/>
      <c r="B79" s="27"/>
      <c r="C79" s="27"/>
      <c r="D79" s="27"/>
      <c r="E79" s="27"/>
      <c r="F79" s="27"/>
      <c r="G79" s="27"/>
    </row>
    <row r="80" spans="1:8" ht="36.75" customHeight="1">
      <c r="A80" s="288" t="s">
        <v>77</v>
      </c>
      <c r="B80" s="288"/>
      <c r="C80" s="288"/>
      <c r="D80" s="288"/>
      <c r="E80" s="288"/>
      <c r="F80" s="288"/>
      <c r="G80" s="288"/>
    </row>
    <row r="81" spans="1:12">
      <c r="A81" s="27"/>
      <c r="B81" s="27"/>
      <c r="C81" s="27"/>
      <c r="D81" s="27"/>
      <c r="E81" s="27"/>
      <c r="F81" s="27"/>
      <c r="G81" s="27"/>
    </row>
    <row r="82" spans="1:12" ht="15.75">
      <c r="A82" s="164" t="s">
        <v>78</v>
      </c>
      <c r="B82" s="167"/>
      <c r="C82" s="167"/>
      <c r="D82" s="167"/>
      <c r="E82" s="178"/>
      <c r="F82" s="179">
        <f>VLOOKUP(A82,[1]LEGGE!$A$16:$B$20,2,0)</f>
        <v>74.369793468886058</v>
      </c>
      <c r="G82" s="108"/>
      <c r="K82" s="109"/>
      <c r="L82" s="109"/>
    </row>
    <row r="83" spans="1:12" ht="15.75">
      <c r="A83" s="164" t="s">
        <v>79</v>
      </c>
      <c r="B83" s="167"/>
      <c r="C83" s="167"/>
      <c r="D83" s="167"/>
      <c r="E83" s="178"/>
      <c r="F83" s="179">
        <f>VLOOKUP(A83,[1]LEGGE!$A$16:$B$20,2,0)</f>
        <v>74.369793468886058</v>
      </c>
      <c r="G83" s="110"/>
    </row>
    <row r="84" spans="1:12" ht="15.75">
      <c r="A84" s="164" t="s">
        <v>80</v>
      </c>
      <c r="B84" s="167"/>
      <c r="C84" s="167"/>
      <c r="D84" s="167"/>
      <c r="E84" s="178"/>
      <c r="F84" s="179">
        <f>VLOOKUP(A84,[1]LEGGE!$A$16:$B$20,2,0)</f>
        <v>49.579862312590706</v>
      </c>
      <c r="G84" s="110"/>
    </row>
    <row r="85" spans="1:12" ht="15.75">
      <c r="A85" s="180" t="s">
        <v>81</v>
      </c>
      <c r="B85" s="181"/>
      <c r="C85" s="181"/>
      <c r="D85" s="181"/>
      <c r="E85" s="182"/>
      <c r="F85" s="179">
        <f>VLOOKUP(A85,[1]LEGGE!$A$16:$B$20,2,0)</f>
        <v>49.579862312590706</v>
      </c>
      <c r="G85" s="111"/>
    </row>
    <row r="86" spans="1:12" s="112" customFormat="1" ht="40.5" customHeight="1">
      <c r="A86" s="289" t="s">
        <v>82</v>
      </c>
      <c r="B86" s="289"/>
      <c r="C86" s="289"/>
      <c r="D86" s="289"/>
      <c r="E86" s="183"/>
      <c r="F86" s="179">
        <f>VLOOKUP(A86,[1]LEGGE!$A$16:$B$20,2,0)</f>
        <v>24.789931156295353</v>
      </c>
      <c r="G86" s="85"/>
    </row>
    <row r="87" spans="1:12" s="112" customFormat="1" ht="7.5" customHeight="1">
      <c r="A87" s="113"/>
      <c r="B87" s="113"/>
      <c r="C87" s="113"/>
      <c r="D87" s="113"/>
      <c r="E87" s="38"/>
      <c r="F87" s="114"/>
      <c r="G87" s="115"/>
    </row>
    <row r="88" spans="1:12" s="112" customFormat="1" ht="3" customHeight="1">
      <c r="A88" s="113"/>
      <c r="B88" s="113"/>
      <c r="C88" s="113"/>
      <c r="D88" s="113"/>
      <c r="E88" s="38"/>
      <c r="F88" s="114"/>
      <c r="G88" s="115"/>
    </row>
    <row r="89" spans="1:12">
      <c r="A89" s="27"/>
      <c r="B89" s="27"/>
      <c r="C89" s="27"/>
      <c r="D89" s="27"/>
      <c r="E89" s="27"/>
      <c r="F89" s="27"/>
      <c r="G89" s="27"/>
    </row>
    <row r="90" spans="1:12" ht="15.75">
      <c r="A90" s="27" t="s">
        <v>83</v>
      </c>
      <c r="B90" s="27"/>
      <c r="C90" s="27"/>
      <c r="D90" s="27"/>
      <c r="E90" s="27"/>
      <c r="F90" s="27"/>
      <c r="G90" s="27"/>
    </row>
    <row r="91" spans="1:12">
      <c r="A91" s="27" t="s">
        <v>84</v>
      </c>
      <c r="B91" s="27"/>
      <c r="C91" s="27"/>
      <c r="D91" s="27"/>
      <c r="E91" s="27"/>
      <c r="F91" s="27"/>
      <c r="G91" s="27"/>
    </row>
    <row r="92" spans="1:12" ht="15" thickBot="1">
      <c r="A92" s="27"/>
      <c r="B92" s="27"/>
      <c r="C92" s="27"/>
      <c r="D92" s="27"/>
      <c r="E92" s="27"/>
      <c r="F92" s="27"/>
      <c r="G92" s="27"/>
    </row>
    <row r="93" spans="1:12" ht="23.25" thickBot="1">
      <c r="A93" s="116"/>
      <c r="B93" s="117"/>
      <c r="C93" s="118" t="s">
        <v>58</v>
      </c>
      <c r="D93" s="118" t="s">
        <v>59</v>
      </c>
      <c r="E93" s="118" t="s">
        <v>60</v>
      </c>
      <c r="F93" s="119" t="s">
        <v>61</v>
      </c>
      <c r="G93" s="120" t="s">
        <v>62</v>
      </c>
      <c r="H93" s="121"/>
    </row>
    <row r="94" spans="1:12">
      <c r="A94" s="175" t="s">
        <v>85</v>
      </c>
      <c r="B94" s="176"/>
      <c r="C94" s="177">
        <f t="shared" ref="C94:C101" si="7">F94/10</f>
        <v>4.1316551927158915</v>
      </c>
      <c r="D94" s="177">
        <f t="shared" ref="D94:D101" si="8">C94*2</f>
        <v>8.2633103854317831</v>
      </c>
      <c r="E94" s="177">
        <f t="shared" ref="E94:E101" si="9">C94*3</f>
        <v>12.394965578147675</v>
      </c>
      <c r="F94" s="177">
        <f>VLOOKUP($B$50,[1]LEGGE!$A$23:$B$27,2,0)</f>
        <v>41.316551927158919</v>
      </c>
      <c r="G94" s="123"/>
      <c r="H94" s="124"/>
    </row>
    <row r="95" spans="1:12" ht="25.5">
      <c r="A95" s="78" t="s">
        <v>64</v>
      </c>
      <c r="B95" s="79"/>
      <c r="C95" s="80">
        <f t="shared" si="7"/>
        <v>5.3711517505306592</v>
      </c>
      <c r="D95" s="80">
        <f t="shared" si="8"/>
        <v>10.742303501061318</v>
      </c>
      <c r="E95" s="80">
        <f t="shared" si="9"/>
        <v>16.113455251591979</v>
      </c>
      <c r="F95" s="81">
        <f>F94*(1+$C$51)</f>
        <v>53.711517505306595</v>
      </c>
      <c r="G95" s="82"/>
      <c r="H95" s="83"/>
    </row>
    <row r="96" spans="1:12" ht="25.5">
      <c r="A96" s="84" t="s">
        <v>65</v>
      </c>
      <c r="B96" s="85"/>
      <c r="C96" s="86">
        <f t="shared" si="7"/>
        <v>8.0567276257959897</v>
      </c>
      <c r="D96" s="86">
        <f t="shared" si="8"/>
        <v>16.113455251591979</v>
      </c>
      <c r="E96" s="86">
        <f t="shared" si="9"/>
        <v>24.170182877387969</v>
      </c>
      <c r="F96" s="86">
        <f>F95*(1+$G96)</f>
        <v>80.56727625795989</v>
      </c>
      <c r="G96" s="87">
        <v>0.5</v>
      </c>
      <c r="H96" s="88"/>
    </row>
    <row r="97" spans="1:8" ht="26.25" thickBot="1">
      <c r="A97" s="125" t="s">
        <v>66</v>
      </c>
      <c r="B97" s="126"/>
      <c r="C97" s="127">
        <f t="shared" si="7"/>
        <v>10.742303501061318</v>
      </c>
      <c r="D97" s="127">
        <f t="shared" si="8"/>
        <v>21.484607002122637</v>
      </c>
      <c r="E97" s="127">
        <f t="shared" si="9"/>
        <v>32.226910503183959</v>
      </c>
      <c r="F97" s="127">
        <f>F95*(1+$G97)</f>
        <v>107.42303501061319</v>
      </c>
      <c r="G97" s="128">
        <v>1</v>
      </c>
      <c r="H97" s="129"/>
    </row>
    <row r="98" spans="1:8">
      <c r="A98" s="175" t="s">
        <v>86</v>
      </c>
      <c r="B98" s="176"/>
      <c r="C98" s="177">
        <f t="shared" si="7"/>
        <v>4.1316551927158915</v>
      </c>
      <c r="D98" s="177">
        <f t="shared" si="8"/>
        <v>8.2633103854317831</v>
      </c>
      <c r="E98" s="177">
        <f t="shared" si="9"/>
        <v>12.394965578147675</v>
      </c>
      <c r="F98" s="177">
        <f>F94*(1+F50)</f>
        <v>41.316551927158919</v>
      </c>
      <c r="G98" s="131"/>
      <c r="H98" s="132"/>
    </row>
    <row r="99" spans="1:8" ht="25.5">
      <c r="A99" s="133" t="s">
        <v>87</v>
      </c>
      <c r="B99" s="134"/>
      <c r="C99" s="135">
        <f t="shared" si="7"/>
        <v>5.3711517505306592</v>
      </c>
      <c r="D99" s="135">
        <f t="shared" si="8"/>
        <v>10.742303501061318</v>
      </c>
      <c r="E99" s="135">
        <f t="shared" si="9"/>
        <v>16.113455251591979</v>
      </c>
      <c r="F99" s="136">
        <f>F95+(F95*F50)</f>
        <v>53.711517505306595</v>
      </c>
      <c r="G99" s="137"/>
      <c r="H99" s="138"/>
    </row>
    <row r="100" spans="1:8" ht="25.5">
      <c r="A100" s="133" t="s">
        <v>88</v>
      </c>
      <c r="B100" s="134"/>
      <c r="C100" s="135">
        <f t="shared" si="7"/>
        <v>7.4369793468886058</v>
      </c>
      <c r="D100" s="135">
        <f t="shared" si="8"/>
        <v>14.873958693777212</v>
      </c>
      <c r="E100" s="135">
        <f t="shared" si="9"/>
        <v>22.310938040665818</v>
      </c>
      <c r="F100" s="135">
        <f>F99+(F98/2)</f>
        <v>74.369793468886058</v>
      </c>
      <c r="G100" s="137">
        <v>0.5</v>
      </c>
      <c r="H100" s="138"/>
    </row>
    <row r="101" spans="1:8" ht="26.25" thickBot="1">
      <c r="A101" s="139" t="s">
        <v>89</v>
      </c>
      <c r="B101" s="140"/>
      <c r="C101" s="141">
        <f t="shared" si="7"/>
        <v>9.5028069432465507</v>
      </c>
      <c r="D101" s="141">
        <f t="shared" si="8"/>
        <v>19.005613886493101</v>
      </c>
      <c r="E101" s="141">
        <f t="shared" si="9"/>
        <v>28.508420829739652</v>
      </c>
      <c r="F101" s="141">
        <f>F99+F98</f>
        <v>95.028069432465514</v>
      </c>
      <c r="G101" s="142">
        <v>1</v>
      </c>
      <c r="H101" s="143"/>
    </row>
    <row r="102" spans="1:8" ht="15" thickTop="1">
      <c r="A102" s="27"/>
      <c r="B102" s="27"/>
      <c r="C102" s="27"/>
      <c r="D102" s="27"/>
      <c r="E102" s="27"/>
      <c r="F102" s="27"/>
      <c r="G102" s="27"/>
    </row>
    <row r="103" spans="1:8" ht="15.75">
      <c r="A103" s="27" t="s">
        <v>90</v>
      </c>
      <c r="B103" s="27"/>
      <c r="C103" s="27"/>
      <c r="D103" s="27"/>
      <c r="E103" s="27"/>
      <c r="F103" s="27"/>
      <c r="G103" s="27"/>
    </row>
    <row r="104" spans="1:8">
      <c r="A104" s="27" t="s">
        <v>91</v>
      </c>
      <c r="B104" s="27"/>
      <c r="C104" s="27"/>
      <c r="D104" s="27"/>
      <c r="E104" s="27"/>
      <c r="F104" s="27"/>
      <c r="G104" s="27"/>
    </row>
    <row r="105" spans="1:8">
      <c r="A105" s="27" t="s">
        <v>92</v>
      </c>
      <c r="B105" s="27"/>
      <c r="C105" s="27"/>
      <c r="D105" s="27"/>
      <c r="E105" s="27"/>
      <c r="F105" s="27"/>
      <c r="G105" s="27"/>
    </row>
    <row r="106" spans="1:8" ht="15.75">
      <c r="A106" s="41" t="s">
        <v>93</v>
      </c>
      <c r="B106" s="42"/>
      <c r="C106" s="42"/>
      <c r="D106" s="42"/>
      <c r="E106" s="42"/>
      <c r="F106" s="144">
        <f>VLOOKUP($B$50,[1]LEGGE!$A$30:$B$34,2,0)</f>
        <v>2.5822844954474324</v>
      </c>
      <c r="G106" s="145"/>
    </row>
    <row r="107" spans="1:8" ht="15.75">
      <c r="A107" s="54" t="s">
        <v>94</v>
      </c>
      <c r="B107" s="55"/>
      <c r="C107" s="55"/>
      <c r="D107" s="55"/>
      <c r="E107" s="55"/>
      <c r="F107" s="146">
        <f>F106+F106*$F$8</f>
        <v>2.5822844954474324</v>
      </c>
      <c r="G107" s="145"/>
    </row>
    <row r="108" spans="1:8">
      <c r="A108" s="27"/>
      <c r="B108" s="27"/>
      <c r="C108" s="27"/>
      <c r="D108" s="27"/>
      <c r="E108" s="27"/>
      <c r="F108" s="27"/>
      <c r="G108" s="27"/>
    </row>
    <row r="109" spans="1:8" ht="60.75" customHeight="1">
      <c r="A109" s="290" t="s">
        <v>95</v>
      </c>
      <c r="B109" s="290"/>
      <c r="C109" s="290"/>
      <c r="D109" s="290"/>
      <c r="E109" s="290"/>
      <c r="F109" s="290"/>
      <c r="G109" s="290"/>
    </row>
    <row r="110" spans="1:8" ht="15" thickBot="1">
      <c r="A110" s="25"/>
      <c r="B110" s="25"/>
      <c r="C110" s="27"/>
      <c r="D110" s="27"/>
      <c r="E110" s="27"/>
      <c r="F110" s="27"/>
      <c r="G110" s="27"/>
    </row>
    <row r="111" spans="1:8" s="150" customFormat="1" ht="15" thickBot="1">
      <c r="A111" s="147"/>
      <c r="B111" s="148"/>
      <c r="C111" s="119" t="s">
        <v>96</v>
      </c>
      <c r="D111" s="119" t="s">
        <v>97</v>
      </c>
      <c r="E111" s="119" t="s">
        <v>98</v>
      </c>
      <c r="F111" s="119" t="s">
        <v>99</v>
      </c>
      <c r="G111" s="120" t="s">
        <v>62</v>
      </c>
      <c r="H111" s="149"/>
    </row>
    <row r="112" spans="1:8">
      <c r="A112" s="175" t="s">
        <v>100</v>
      </c>
      <c r="B112" s="176"/>
      <c r="C112" s="177">
        <f>F57</f>
        <v>13.427879376326649</v>
      </c>
      <c r="D112" s="177">
        <f t="shared" ref="D112:D119" si="10">C112*2</f>
        <v>26.855758752653298</v>
      </c>
      <c r="E112" s="177">
        <f t="shared" ref="E112:E119" si="11">C112*3</f>
        <v>40.283638128979945</v>
      </c>
      <c r="F112" s="177">
        <f t="shared" ref="F112:F119" si="12">C112*4</f>
        <v>53.711517505306595</v>
      </c>
      <c r="G112" s="123"/>
      <c r="H112" s="124"/>
    </row>
    <row r="113" spans="1:8" ht="25.5">
      <c r="A113" s="78" t="s">
        <v>64</v>
      </c>
      <c r="B113" s="79"/>
      <c r="C113" s="81">
        <f>F58</f>
        <v>17.456243189224644</v>
      </c>
      <c r="D113" s="122">
        <f t="shared" si="10"/>
        <v>34.912486378449287</v>
      </c>
      <c r="E113" s="122">
        <f t="shared" si="11"/>
        <v>52.368729567673931</v>
      </c>
      <c r="F113" s="122">
        <f t="shared" si="12"/>
        <v>69.824972756898575</v>
      </c>
      <c r="G113" s="82"/>
      <c r="H113" s="83"/>
    </row>
    <row r="114" spans="1:8" ht="25.5">
      <c r="A114" s="84" t="s">
        <v>65</v>
      </c>
      <c r="B114" s="85"/>
      <c r="C114" s="86">
        <f>F59</f>
        <v>26.184364783836966</v>
      </c>
      <c r="D114" s="122">
        <f t="shared" si="10"/>
        <v>52.368729567673931</v>
      </c>
      <c r="E114" s="122">
        <f t="shared" si="11"/>
        <v>78.553094351510893</v>
      </c>
      <c r="F114" s="122">
        <f t="shared" si="12"/>
        <v>104.73745913534786</v>
      </c>
      <c r="G114" s="87">
        <v>0.5</v>
      </c>
      <c r="H114" s="88"/>
    </row>
    <row r="115" spans="1:8" ht="26.25" thickBot="1">
      <c r="A115" s="125" t="s">
        <v>66</v>
      </c>
      <c r="B115" s="126"/>
      <c r="C115" s="127">
        <f>F60</f>
        <v>34.912486378449287</v>
      </c>
      <c r="D115" s="151">
        <f t="shared" si="10"/>
        <v>69.824972756898575</v>
      </c>
      <c r="E115" s="151">
        <f t="shared" si="11"/>
        <v>104.73745913534786</v>
      </c>
      <c r="F115" s="151">
        <f t="shared" si="12"/>
        <v>139.64994551379715</v>
      </c>
      <c r="G115" s="128">
        <v>1</v>
      </c>
      <c r="H115" s="129"/>
    </row>
    <row r="116" spans="1:8" ht="15" thickBot="1">
      <c r="A116" s="175" t="s">
        <v>86</v>
      </c>
      <c r="B116" s="176"/>
      <c r="C116" s="177">
        <f>F66</f>
        <v>13.427879376326649</v>
      </c>
      <c r="D116" s="177">
        <f t="shared" si="10"/>
        <v>26.855758752653298</v>
      </c>
      <c r="E116" s="177">
        <f t="shared" si="11"/>
        <v>40.283638128979945</v>
      </c>
      <c r="F116" s="177">
        <f t="shared" si="12"/>
        <v>53.711517505306595</v>
      </c>
      <c r="G116" s="131"/>
      <c r="H116" s="132"/>
    </row>
    <row r="117" spans="1:8" ht="26.25" thickBot="1">
      <c r="A117" s="133" t="s">
        <v>87</v>
      </c>
      <c r="B117" s="134"/>
      <c r="C117" s="135">
        <f>F67</f>
        <v>17.456243189224644</v>
      </c>
      <c r="D117" s="130">
        <f t="shared" si="10"/>
        <v>34.912486378449287</v>
      </c>
      <c r="E117" s="130">
        <f t="shared" si="11"/>
        <v>52.368729567673931</v>
      </c>
      <c r="F117" s="130">
        <f t="shared" si="12"/>
        <v>69.824972756898575</v>
      </c>
      <c r="G117" s="137"/>
      <c r="H117" s="138"/>
    </row>
    <row r="118" spans="1:8" ht="26.25" thickBot="1">
      <c r="A118" s="133" t="s">
        <v>88</v>
      </c>
      <c r="B118" s="134"/>
      <c r="C118" s="135">
        <f>F68</f>
        <v>26.184364783836966</v>
      </c>
      <c r="D118" s="130">
        <f t="shared" si="10"/>
        <v>52.368729567673931</v>
      </c>
      <c r="E118" s="130">
        <f t="shared" si="11"/>
        <v>78.553094351510893</v>
      </c>
      <c r="F118" s="130">
        <f t="shared" si="12"/>
        <v>104.73745913534786</v>
      </c>
      <c r="G118" s="137">
        <v>0.5</v>
      </c>
      <c r="H118" s="138"/>
    </row>
    <row r="119" spans="1:8" ht="26.25" thickBot="1">
      <c r="A119" s="139" t="s">
        <v>89</v>
      </c>
      <c r="B119" s="140"/>
      <c r="C119" s="141">
        <f>F69</f>
        <v>34.912486378449287</v>
      </c>
      <c r="D119" s="130">
        <f t="shared" si="10"/>
        <v>69.824972756898575</v>
      </c>
      <c r="E119" s="130">
        <f t="shared" si="11"/>
        <v>104.73745913534786</v>
      </c>
      <c r="F119" s="130">
        <f t="shared" si="12"/>
        <v>139.64994551379715</v>
      </c>
      <c r="G119" s="142">
        <v>1</v>
      </c>
      <c r="H119" s="143"/>
    </row>
    <row r="120" spans="1:8" ht="15" thickTop="1">
      <c r="A120" s="27"/>
      <c r="B120" s="27"/>
      <c r="C120" s="27"/>
      <c r="D120" s="27"/>
      <c r="E120" s="27"/>
      <c r="F120" s="27"/>
      <c r="G120" s="27"/>
    </row>
    <row r="121" spans="1:8">
      <c r="A121" s="27" t="s">
        <v>101</v>
      </c>
      <c r="B121" s="27"/>
      <c r="C121" s="27"/>
      <c r="D121" s="27"/>
      <c r="E121" s="27"/>
      <c r="F121" s="27"/>
      <c r="G121" s="27"/>
    </row>
    <row r="122" spans="1:8" ht="45.75" customHeight="1">
      <c r="A122" s="284" t="s">
        <v>102</v>
      </c>
      <c r="B122" s="284"/>
      <c r="C122" s="284"/>
      <c r="D122" s="284"/>
      <c r="E122" s="284"/>
      <c r="F122" s="284"/>
      <c r="G122" s="284"/>
    </row>
    <row r="123" spans="1:8" ht="15.75">
      <c r="A123" s="152" t="s">
        <v>103</v>
      </c>
      <c r="B123" s="24"/>
      <c r="C123" s="27"/>
      <c r="D123" s="24"/>
      <c r="E123" s="27"/>
      <c r="F123" s="153">
        <f>VLOOKUP($B$50,[1]LEGGE!$A$37:$F$41,3,0)</f>
        <v>61.974827890738382</v>
      </c>
      <c r="G123" s="27"/>
    </row>
    <row r="124" spans="1:8">
      <c r="A124" s="27"/>
      <c r="B124" s="27"/>
      <c r="C124" s="27"/>
      <c r="D124" s="27"/>
      <c r="E124" s="27"/>
      <c r="F124" s="27"/>
      <c r="G124" s="27"/>
    </row>
    <row r="125" spans="1:8" ht="13.5" customHeight="1">
      <c r="A125" s="284" t="s">
        <v>104</v>
      </c>
      <c r="B125" s="284"/>
      <c r="C125" s="284"/>
      <c r="D125" s="284"/>
      <c r="E125" s="284"/>
      <c r="F125" s="284"/>
      <c r="G125" s="284"/>
    </row>
    <row r="126" spans="1:8" ht="15.75">
      <c r="A126" s="152" t="s">
        <v>103</v>
      </c>
      <c r="B126" s="24"/>
      <c r="C126" s="27"/>
      <c r="D126" s="27"/>
      <c r="E126" s="27"/>
      <c r="F126" s="153">
        <f>VLOOKUP($B$50,[1]LEGGE!$A$37:$F$41,4,0)</f>
        <v>30.987413945369191</v>
      </c>
      <c r="G126" s="27"/>
    </row>
    <row r="127" spans="1:8" ht="63" customHeight="1">
      <c r="A127" s="284" t="s">
        <v>105</v>
      </c>
      <c r="B127" s="284"/>
      <c r="C127" s="284"/>
      <c r="D127" s="284"/>
      <c r="E127" s="284"/>
      <c r="F127" s="284"/>
      <c r="G127" s="284"/>
    </row>
    <row r="128" spans="1:8" ht="15.75">
      <c r="A128" s="154" t="s">
        <v>106</v>
      </c>
      <c r="B128" s="24"/>
      <c r="C128" s="27"/>
      <c r="D128" s="27"/>
      <c r="E128" s="24"/>
      <c r="F128" s="153">
        <f>VLOOKUP($B$50,[1]LEGGE!$A$37:$F$41,5,0)</f>
        <v>2.5822844954474324</v>
      </c>
      <c r="G128" s="27"/>
    </row>
    <row r="129" spans="1:7">
      <c r="A129" s="26" t="s">
        <v>107</v>
      </c>
      <c r="B129" s="26"/>
      <c r="C129" s="26"/>
      <c r="D129" s="26"/>
      <c r="E129" s="26"/>
      <c r="F129" s="155">
        <f>F128+F128*$F$8</f>
        <v>2.5822844954474324</v>
      </c>
      <c r="G129" s="27"/>
    </row>
    <row r="130" spans="1:7">
      <c r="A130" s="26"/>
      <c r="B130" s="26"/>
      <c r="C130" s="26"/>
      <c r="D130" s="26"/>
      <c r="E130" s="26"/>
      <c r="F130" s="155"/>
      <c r="G130" s="27"/>
    </row>
    <row r="131" spans="1:7" ht="19.5" customHeight="1">
      <c r="A131" s="284" t="s">
        <v>108</v>
      </c>
      <c r="B131" s="284"/>
      <c r="C131" s="284"/>
      <c r="D131" s="284"/>
      <c r="E131" s="284"/>
      <c r="F131" s="284"/>
      <c r="G131" s="284"/>
    </row>
    <row r="132" spans="1:7" ht="15.75">
      <c r="A132" s="154" t="s">
        <v>109</v>
      </c>
      <c r="B132" s="27"/>
      <c r="C132" s="27"/>
      <c r="D132" s="27"/>
      <c r="E132" s="27"/>
      <c r="F132" s="153">
        <f>VLOOKUP($B$50,[1]LEGGE!$A$37:$F$41,6,0)</f>
        <v>7.7468534863422978</v>
      </c>
      <c r="G132" s="27"/>
    </row>
    <row r="133" spans="1:7">
      <c r="A133" s="26" t="s">
        <v>110</v>
      </c>
      <c r="B133" s="27"/>
      <c r="C133" s="27"/>
      <c r="D133" s="27"/>
      <c r="E133" s="27"/>
      <c r="F133" s="155">
        <f>F132+F132*$F$8</f>
        <v>7.7468534863422978</v>
      </c>
      <c r="G133" s="27"/>
    </row>
  </sheetData>
  <mergeCells count="18">
    <mergeCell ref="A131:G131"/>
    <mergeCell ref="A44:G44"/>
    <mergeCell ref="A45:G45"/>
    <mergeCell ref="A47:G47"/>
    <mergeCell ref="A48:G48"/>
    <mergeCell ref="A65:H65"/>
    <mergeCell ref="A80:G80"/>
    <mergeCell ref="A86:D86"/>
    <mergeCell ref="A109:G109"/>
    <mergeCell ref="A122:G122"/>
    <mergeCell ref="A125:G125"/>
    <mergeCell ref="A127:G127"/>
    <mergeCell ref="A39:G40"/>
    <mergeCell ref="A1:G1"/>
    <mergeCell ref="A2:G2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M119"/>
  <sheetViews>
    <sheetView topLeftCell="A63" zoomScale="90" zoomScaleNormal="90" workbookViewId="0">
      <selection activeCell="H20" sqref="H20"/>
    </sheetView>
  </sheetViews>
  <sheetFormatPr defaultColWidth="7.25" defaultRowHeight="12.75"/>
  <cols>
    <col min="1" max="1" width="61" style="2" customWidth="1"/>
    <col min="2" max="2" width="9" style="2" customWidth="1"/>
    <col min="3" max="3" width="2.125" style="2" hidden="1" customWidth="1"/>
    <col min="4" max="4" width="12.875" style="199" customWidth="1"/>
    <col min="5" max="5" width="10.625" style="199" customWidth="1"/>
    <col min="6" max="6" width="10.625" style="200" customWidth="1"/>
    <col min="7" max="16384" width="7.25" style="2"/>
  </cols>
  <sheetData>
    <row r="1" spans="1:247" ht="21.75" customHeight="1">
      <c r="A1" s="157" t="s">
        <v>111</v>
      </c>
      <c r="B1" s="1"/>
      <c r="C1" s="166"/>
      <c r="D1" s="189"/>
      <c r="E1" s="189"/>
      <c r="F1" s="190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/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/>
      <c r="IB1" s="166"/>
      <c r="IC1" s="166"/>
      <c r="ID1" s="166"/>
      <c r="IE1" s="166"/>
      <c r="IF1" s="166"/>
      <c r="IG1" s="166"/>
      <c r="IH1" s="166"/>
      <c r="II1" s="166"/>
      <c r="IJ1" s="166"/>
      <c r="IK1" s="166"/>
      <c r="IL1" s="166"/>
      <c r="IM1" s="166"/>
    </row>
    <row r="2" spans="1:247">
      <c r="A2" s="156" t="s">
        <v>112</v>
      </c>
      <c r="B2" s="158" t="s">
        <v>113</v>
      </c>
      <c r="C2" s="166"/>
      <c r="D2" s="191" t="s">
        <v>114</v>
      </c>
      <c r="E2" s="191"/>
      <c r="F2" s="192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</row>
    <row r="3" spans="1:247">
      <c r="A3" s="20" t="s">
        <v>115</v>
      </c>
      <c r="B3" s="159">
        <v>0.3</v>
      </c>
      <c r="C3" s="166"/>
      <c r="D3" s="191" t="s">
        <v>116</v>
      </c>
      <c r="E3" s="191"/>
      <c r="F3" s="192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</row>
    <row r="4" spans="1:247">
      <c r="A4" s="20" t="s">
        <v>117</v>
      </c>
      <c r="B4" s="159">
        <v>0</v>
      </c>
      <c r="C4" s="166"/>
      <c r="D4" s="191" t="s">
        <v>118</v>
      </c>
      <c r="E4" s="191"/>
      <c r="F4" s="192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</row>
    <row r="5" spans="1:247">
      <c r="A5" s="160"/>
      <c r="B5" s="17"/>
      <c r="C5" s="166"/>
      <c r="D5" s="193"/>
      <c r="E5" s="193"/>
      <c r="F5" s="193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  <c r="IG5" s="166"/>
      <c r="IH5" s="166"/>
      <c r="II5" s="166"/>
      <c r="IJ5" s="166"/>
      <c r="IK5" s="166"/>
      <c r="IL5" s="166"/>
      <c r="IM5" s="166"/>
    </row>
    <row r="6" spans="1:247">
      <c r="A6" s="184" t="s">
        <v>119</v>
      </c>
      <c r="B6" s="17"/>
      <c r="C6" s="166"/>
      <c r="D6" s="194"/>
      <c r="E6" s="194"/>
      <c r="F6" s="193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</row>
    <row r="7" spans="1:247">
      <c r="A7" s="185" t="s">
        <v>120</v>
      </c>
      <c r="B7" s="20"/>
      <c r="C7" s="166"/>
      <c r="D7" s="195">
        <v>40</v>
      </c>
      <c r="E7" s="191"/>
      <c r="F7" s="19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</row>
    <row r="8" spans="1:247" customFormat="1" ht="15.75" customHeight="1">
      <c r="A8" s="184" t="s">
        <v>121</v>
      </c>
      <c r="B8" s="18"/>
      <c r="C8" s="166"/>
      <c r="D8" s="193"/>
      <c r="E8" s="193"/>
      <c r="F8" s="193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</row>
    <row r="9" spans="1:247" customFormat="1" ht="14.25">
      <c r="A9" s="185" t="s">
        <v>120</v>
      </c>
      <c r="B9" s="20"/>
      <c r="C9" s="166"/>
      <c r="D9" s="195">
        <v>0.7</v>
      </c>
      <c r="E9" s="191"/>
      <c r="F9" s="19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6"/>
      <c r="EW9" s="166"/>
      <c r="EX9" s="166"/>
      <c r="EY9" s="166"/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6"/>
      <c r="FP9" s="166"/>
      <c r="FQ9" s="166"/>
      <c r="FR9" s="166"/>
      <c r="FS9" s="166"/>
      <c r="FT9" s="166"/>
      <c r="FU9" s="166"/>
      <c r="FV9" s="166"/>
      <c r="FW9" s="166"/>
      <c r="FX9" s="166"/>
      <c r="FY9" s="166"/>
      <c r="FZ9" s="166"/>
      <c r="GA9" s="166"/>
      <c r="GB9" s="166"/>
      <c r="GC9" s="166"/>
      <c r="GD9" s="166"/>
      <c r="GE9" s="166"/>
      <c r="GF9" s="166"/>
      <c r="GG9" s="166"/>
      <c r="GH9" s="166"/>
      <c r="GI9" s="166"/>
      <c r="GJ9" s="166"/>
      <c r="GK9" s="166"/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6"/>
      <c r="HB9" s="166"/>
      <c r="HC9" s="166"/>
      <c r="HD9" s="166"/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6"/>
      <c r="HU9" s="166"/>
      <c r="HV9" s="166"/>
      <c r="HW9" s="166"/>
      <c r="HX9" s="166"/>
      <c r="HY9" s="166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6"/>
    </row>
    <row r="10" spans="1:247" customFormat="1" ht="14.25">
      <c r="A10" s="294" t="s">
        <v>122</v>
      </c>
      <c r="B10" s="20"/>
      <c r="C10" s="21"/>
      <c r="D10" s="191"/>
      <c r="E10" s="198"/>
      <c r="F10" s="197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6"/>
      <c r="ET10" s="166"/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6"/>
      <c r="FL10" s="166"/>
      <c r="FM10" s="166"/>
      <c r="FN10" s="166"/>
      <c r="FO10" s="166"/>
      <c r="FP10" s="166"/>
      <c r="FQ10" s="166"/>
      <c r="FR10" s="166"/>
      <c r="FS10" s="166"/>
      <c r="FT10" s="166"/>
      <c r="FU10" s="166"/>
      <c r="FV10" s="166"/>
      <c r="FW10" s="166"/>
      <c r="FX10" s="166"/>
      <c r="FY10" s="166"/>
      <c r="FZ10" s="166"/>
      <c r="GA10" s="166"/>
      <c r="GB10" s="166"/>
      <c r="GC10" s="166"/>
      <c r="GD10" s="166"/>
      <c r="GE10" s="166"/>
      <c r="GF10" s="166"/>
      <c r="GG10" s="166"/>
      <c r="GH10" s="166"/>
      <c r="GI10" s="166"/>
      <c r="GJ10" s="166"/>
      <c r="GK10" s="166"/>
      <c r="GL10" s="166"/>
      <c r="GM10" s="166"/>
      <c r="GN10" s="166"/>
      <c r="GO10" s="166"/>
      <c r="GP10" s="166"/>
      <c r="GQ10" s="166"/>
      <c r="GR10" s="166"/>
      <c r="GS10" s="166"/>
      <c r="GT10" s="166"/>
      <c r="GU10" s="166"/>
      <c r="GV10" s="166"/>
      <c r="GW10" s="166"/>
      <c r="GX10" s="166"/>
      <c r="GY10" s="166"/>
      <c r="GZ10" s="16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66"/>
      <c r="HQ10" s="166"/>
      <c r="HR10" s="166"/>
      <c r="HS10" s="166"/>
      <c r="HT10" s="166"/>
      <c r="HU10" s="166"/>
      <c r="HV10" s="166"/>
      <c r="HW10" s="166"/>
      <c r="HX10" s="166"/>
      <c r="HY10" s="166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6"/>
      <c r="IK10" s="166"/>
      <c r="IL10" s="166"/>
      <c r="IM10" s="166"/>
    </row>
    <row r="11" spans="1:247" customFormat="1" ht="14.25">
      <c r="A11" s="295"/>
      <c r="B11" s="20"/>
      <c r="C11" s="21"/>
      <c r="D11" s="191"/>
      <c r="E11" s="199"/>
      <c r="F11" s="199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  <c r="EF11" s="166"/>
      <c r="EG11" s="166"/>
      <c r="EH11" s="166"/>
      <c r="EI11" s="166"/>
      <c r="EJ11" s="166"/>
      <c r="EK11" s="166"/>
      <c r="EL11" s="166"/>
      <c r="EM11" s="166"/>
      <c r="EN11" s="166"/>
      <c r="EO11" s="166"/>
      <c r="EP11" s="166"/>
      <c r="EQ11" s="166"/>
      <c r="ER11" s="166"/>
      <c r="ES11" s="166"/>
      <c r="ET11" s="166"/>
      <c r="EU11" s="166"/>
      <c r="EV11" s="166"/>
      <c r="EW11" s="166"/>
      <c r="EX11" s="166"/>
      <c r="EY11" s="166"/>
      <c r="EZ11" s="166"/>
      <c r="FA11" s="166"/>
      <c r="FB11" s="166"/>
      <c r="FC11" s="166"/>
      <c r="FD11" s="166"/>
      <c r="FE11" s="166"/>
      <c r="FF11" s="166"/>
      <c r="FG11" s="166"/>
      <c r="FH11" s="166"/>
      <c r="FI11" s="166"/>
      <c r="FJ11" s="166"/>
      <c r="FK11" s="166"/>
      <c r="FL11" s="166"/>
      <c r="FM11" s="166"/>
      <c r="FN11" s="166"/>
      <c r="FO11" s="166"/>
      <c r="FP11" s="166"/>
      <c r="FQ11" s="166"/>
      <c r="FR11" s="166"/>
      <c r="FS11" s="166"/>
      <c r="FT11" s="166"/>
      <c r="FU11" s="166"/>
      <c r="FV11" s="166"/>
      <c r="FW11" s="166"/>
      <c r="FX11" s="166"/>
      <c r="FY11" s="166"/>
      <c r="FZ11" s="166"/>
      <c r="GA11" s="166"/>
      <c r="GB11" s="166"/>
      <c r="GC11" s="166"/>
      <c r="GD11" s="166"/>
      <c r="GE11" s="166"/>
      <c r="GF11" s="166"/>
      <c r="GG11" s="166"/>
      <c r="GH11" s="166"/>
      <c r="GI11" s="166"/>
      <c r="GJ11" s="166"/>
      <c r="GK11" s="166"/>
      <c r="GL11" s="166"/>
      <c r="GM11" s="166"/>
      <c r="GN11" s="166"/>
      <c r="GO11" s="166"/>
      <c r="GP11" s="166"/>
      <c r="GQ11" s="166"/>
      <c r="GR11" s="166"/>
      <c r="GS11" s="166"/>
      <c r="GT11" s="166"/>
      <c r="GU11" s="166"/>
      <c r="GV11" s="166"/>
      <c r="GW11" s="166"/>
      <c r="GX11" s="166"/>
      <c r="GY11" s="166"/>
      <c r="GZ11" s="166"/>
      <c r="HA11" s="166"/>
      <c r="HB11" s="166"/>
      <c r="HC11" s="166"/>
      <c r="HD11" s="166"/>
      <c r="HE11" s="166"/>
      <c r="HF11" s="166"/>
      <c r="HG11" s="166"/>
      <c r="HH11" s="166"/>
      <c r="HI11" s="166"/>
      <c r="HJ11" s="166"/>
      <c r="HK11" s="166"/>
      <c r="HL11" s="166"/>
      <c r="HM11" s="166"/>
      <c r="HN11" s="166"/>
      <c r="HO11" s="166"/>
      <c r="HP11" s="166"/>
      <c r="HQ11" s="166"/>
      <c r="HR11" s="166"/>
      <c r="HS11" s="166"/>
      <c r="HT11" s="166"/>
      <c r="HU11" s="166"/>
      <c r="HV11" s="166"/>
      <c r="HW11" s="166"/>
      <c r="HX11" s="166"/>
      <c r="HY11" s="166"/>
      <c r="HZ11" s="166"/>
      <c r="IA11" s="166"/>
      <c r="IB11" s="166"/>
      <c r="IC11" s="166"/>
      <c r="ID11" s="166"/>
      <c r="IE11" s="166"/>
      <c r="IF11" s="166"/>
      <c r="IG11" s="166"/>
      <c r="IH11" s="166"/>
      <c r="II11" s="166"/>
      <c r="IJ11" s="166"/>
      <c r="IK11" s="166"/>
      <c r="IL11" s="166"/>
      <c r="IM11" s="166"/>
    </row>
    <row r="12" spans="1:247" customFormat="1" ht="14.25">
      <c r="A12" s="19"/>
      <c r="B12" s="19"/>
      <c r="C12" s="19"/>
      <c r="D12" s="193"/>
      <c r="E12" s="193"/>
      <c r="F12" s="190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  <c r="EF12" s="166"/>
      <c r="EG12" s="166"/>
      <c r="EH12" s="166"/>
      <c r="EI12" s="166"/>
      <c r="EJ12" s="166"/>
      <c r="EK12" s="166"/>
      <c r="EL12" s="166"/>
      <c r="EM12" s="166"/>
      <c r="EN12" s="166"/>
      <c r="EO12" s="166"/>
      <c r="EP12" s="166"/>
      <c r="EQ12" s="166"/>
      <c r="ER12" s="166"/>
      <c r="ES12" s="166"/>
      <c r="ET12" s="166"/>
      <c r="EU12" s="166"/>
      <c r="EV12" s="166"/>
      <c r="EW12" s="166"/>
      <c r="EX12" s="166"/>
      <c r="EY12" s="166"/>
      <c r="EZ12" s="166"/>
      <c r="FA12" s="166"/>
      <c r="FB12" s="166"/>
      <c r="FC12" s="166"/>
      <c r="FD12" s="166"/>
      <c r="FE12" s="166"/>
      <c r="FF12" s="166"/>
      <c r="FG12" s="166"/>
      <c r="FH12" s="166"/>
      <c r="FI12" s="166"/>
      <c r="FJ12" s="166"/>
      <c r="FK12" s="166"/>
      <c r="FL12" s="166"/>
      <c r="FM12" s="166"/>
      <c r="FN12" s="166"/>
      <c r="FO12" s="166"/>
      <c r="FP12" s="166"/>
      <c r="FQ12" s="166"/>
      <c r="FR12" s="166"/>
      <c r="FS12" s="166"/>
      <c r="FT12" s="166"/>
      <c r="FU12" s="166"/>
      <c r="FV12" s="166"/>
      <c r="FW12" s="166"/>
      <c r="FX12" s="166"/>
      <c r="FY12" s="166"/>
      <c r="FZ12" s="166"/>
      <c r="GA12" s="166"/>
      <c r="GB12" s="166"/>
      <c r="GC12" s="166"/>
      <c r="GD12" s="166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  <c r="HQ12" s="166"/>
      <c r="HR12" s="166"/>
      <c r="HS12" s="166"/>
      <c r="HT12" s="166"/>
      <c r="HU12" s="166"/>
      <c r="HV12" s="166"/>
      <c r="HW12" s="166"/>
      <c r="HX12" s="166"/>
      <c r="HY12" s="166"/>
      <c r="HZ12" s="166"/>
      <c r="IA12" s="166"/>
      <c r="IB12" s="166"/>
      <c r="IC12" s="166"/>
      <c r="ID12" s="166"/>
      <c r="IE12" s="166"/>
      <c r="IF12" s="166"/>
      <c r="IG12" s="166"/>
      <c r="IH12" s="166"/>
      <c r="II12" s="166"/>
      <c r="IJ12" s="166"/>
      <c r="IK12" s="166"/>
      <c r="IL12" s="166"/>
      <c r="IM12" s="166"/>
    </row>
    <row r="13" spans="1:247" customFormat="1" ht="29.1" customHeight="1">
      <c r="A13" s="161" t="s">
        <v>123</v>
      </c>
      <c r="B13" s="162" t="s">
        <v>124</v>
      </c>
      <c r="C13" s="163" t="s">
        <v>125</v>
      </c>
      <c r="D13" s="201" t="s">
        <v>126</v>
      </c>
      <c r="E13" s="202" t="s">
        <v>127</v>
      </c>
      <c r="F13" s="203" t="s">
        <v>128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  <c r="FX13" s="166"/>
      <c r="FY13" s="166"/>
      <c r="FZ13" s="166"/>
      <c r="GA13" s="166"/>
      <c r="GB13" s="166"/>
      <c r="GC13" s="166"/>
      <c r="GD13" s="166"/>
      <c r="GE13" s="166"/>
      <c r="GF13" s="166"/>
      <c r="GG13" s="166"/>
      <c r="GH13" s="166"/>
      <c r="GI13" s="166"/>
      <c r="GJ13" s="166"/>
      <c r="GK13" s="166"/>
      <c r="GL13" s="166"/>
      <c r="GM13" s="166"/>
      <c r="GN13" s="166"/>
      <c r="GO13" s="166"/>
      <c r="GP13" s="166"/>
      <c r="GQ13" s="166"/>
      <c r="GR13" s="166"/>
      <c r="GS13" s="166"/>
      <c r="GT13" s="166"/>
      <c r="GU13" s="166"/>
      <c r="GV13" s="166"/>
      <c r="GW13" s="166"/>
      <c r="GX13" s="166"/>
      <c r="GY13" s="166"/>
      <c r="GZ13" s="166"/>
      <c r="HA13" s="166"/>
      <c r="HB13" s="166"/>
      <c r="HC13" s="166"/>
      <c r="HD13" s="166"/>
      <c r="HE13" s="166"/>
      <c r="HF13" s="166"/>
      <c r="HG13" s="166"/>
      <c r="HH13" s="166"/>
      <c r="HI13" s="166"/>
      <c r="HJ13" s="166"/>
      <c r="HK13" s="166"/>
      <c r="HL13" s="166"/>
      <c r="HM13" s="166"/>
      <c r="HN13" s="166"/>
      <c r="HO13" s="166"/>
      <c r="HP13" s="166"/>
      <c r="HQ13" s="166"/>
      <c r="HR13" s="166"/>
      <c r="HS13" s="166"/>
      <c r="HT13" s="166"/>
      <c r="HU13" s="166"/>
      <c r="HV13" s="166"/>
      <c r="HW13" s="166"/>
      <c r="HX13" s="166"/>
      <c r="HY13" s="166"/>
      <c r="HZ13" s="166"/>
      <c r="IA13" s="166"/>
      <c r="IB13" s="166"/>
      <c r="IC13" s="166"/>
      <c r="ID13" s="166"/>
      <c r="IE13" s="166"/>
      <c r="IF13" s="166"/>
      <c r="IG13" s="166"/>
      <c r="IH13" s="166"/>
      <c r="II13" s="166"/>
      <c r="IJ13" s="166"/>
      <c r="IK13" s="166"/>
      <c r="IL13" s="166"/>
      <c r="IM13" s="166"/>
    </row>
    <row r="14" spans="1:247" customFormat="1" ht="15">
      <c r="A14" s="298" t="s">
        <v>129</v>
      </c>
      <c r="B14" s="298"/>
      <c r="C14" s="298"/>
      <c r="D14" s="298"/>
      <c r="E14" s="298"/>
      <c r="F14" s="298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  <c r="DT14" s="166"/>
      <c r="DU14" s="166"/>
      <c r="DV14" s="166"/>
      <c r="DW14" s="166"/>
      <c r="DX14" s="166"/>
      <c r="DY14" s="166"/>
      <c r="DZ14" s="166"/>
      <c r="EA14" s="166"/>
      <c r="EB14" s="166"/>
      <c r="EC14" s="166"/>
      <c r="ED14" s="166"/>
      <c r="EE14" s="166"/>
      <c r="EF14" s="166"/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66"/>
      <c r="ES14" s="166"/>
      <c r="ET14" s="166"/>
      <c r="EU14" s="166"/>
      <c r="EV14" s="166"/>
      <c r="EW14" s="166"/>
      <c r="EX14" s="166"/>
      <c r="EY14" s="166"/>
      <c r="EZ14" s="166"/>
      <c r="FA14" s="166"/>
      <c r="FB14" s="166"/>
      <c r="FC14" s="166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  <c r="FX14" s="166"/>
      <c r="FY14" s="166"/>
      <c r="FZ14" s="166"/>
      <c r="GA14" s="166"/>
      <c r="GB14" s="166"/>
      <c r="GC14" s="166"/>
      <c r="GD14" s="166"/>
      <c r="GE14" s="166"/>
      <c r="GF14" s="166"/>
      <c r="GG14" s="166"/>
      <c r="GH14" s="166"/>
      <c r="GI14" s="166"/>
      <c r="GJ14" s="166"/>
      <c r="GK14" s="166"/>
      <c r="GL14" s="166"/>
      <c r="GM14" s="166"/>
      <c r="GN14" s="166"/>
      <c r="GO14" s="166"/>
      <c r="GP14" s="166"/>
      <c r="GQ14" s="166"/>
      <c r="GR14" s="166"/>
      <c r="GS14" s="166"/>
      <c r="GT14" s="166"/>
      <c r="GU14" s="166"/>
      <c r="GV14" s="166"/>
      <c r="GW14" s="166"/>
      <c r="GX14" s="166"/>
      <c r="GY14" s="166"/>
      <c r="GZ14" s="166"/>
      <c r="HA14" s="166"/>
      <c r="HB14" s="166"/>
      <c r="HC14" s="166"/>
      <c r="HD14" s="166"/>
      <c r="HE14" s="166"/>
      <c r="HF14" s="166"/>
      <c r="HG14" s="166"/>
      <c r="HH14" s="166"/>
      <c r="HI14" s="166"/>
      <c r="HJ14" s="166"/>
      <c r="HK14" s="166"/>
      <c r="HL14" s="166"/>
      <c r="HM14" s="166"/>
      <c r="HN14" s="166"/>
      <c r="HO14" s="166"/>
      <c r="HP14" s="166"/>
      <c r="HQ14" s="166"/>
      <c r="HR14" s="166"/>
      <c r="HS14" s="166"/>
      <c r="HT14" s="166"/>
      <c r="HU14" s="166"/>
      <c r="HV14" s="166"/>
      <c r="HW14" s="166"/>
      <c r="HX14" s="166"/>
      <c r="HY14" s="166"/>
      <c r="HZ14" s="166"/>
      <c r="IA14" s="166"/>
      <c r="IB14" s="166"/>
      <c r="IC14" s="166"/>
      <c r="ID14" s="166"/>
      <c r="IE14" s="166"/>
      <c r="IF14" s="166"/>
      <c r="IG14" s="166"/>
      <c r="IH14" s="166"/>
      <c r="II14" s="166"/>
      <c r="IJ14" s="166"/>
      <c r="IK14" s="166"/>
      <c r="IL14" s="166"/>
      <c r="IM14" s="166"/>
    </row>
    <row r="15" spans="1:247" s="165" customFormat="1" ht="14.25">
      <c r="A15" s="205" t="s">
        <v>130</v>
      </c>
      <c r="B15" s="205"/>
      <c r="C15" s="207">
        <v>24.58</v>
      </c>
      <c r="D15" s="208">
        <f>TARIFFE2020!F57</f>
        <v>13.427879376326649</v>
      </c>
      <c r="E15" s="209">
        <f>$D$7*F15</f>
        <v>13.600000000000001</v>
      </c>
      <c r="F15" s="210">
        <f>CEILING(D15/$D$7,0.01)</f>
        <v>0.34</v>
      </c>
      <c r="G15" s="211"/>
      <c r="H15" s="211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6"/>
      <c r="DT15" s="166"/>
      <c r="DU15" s="166"/>
      <c r="DV15" s="166"/>
      <c r="DW15" s="166"/>
      <c r="DX15" s="166"/>
      <c r="DY15" s="166"/>
      <c r="DZ15" s="166"/>
      <c r="EA15" s="166"/>
      <c r="EB15" s="166"/>
      <c r="EC15" s="166"/>
      <c r="ED15" s="166"/>
      <c r="EE15" s="166"/>
      <c r="EF15" s="166"/>
      <c r="EG15" s="166"/>
      <c r="EH15" s="166"/>
      <c r="EI15" s="166"/>
      <c r="EJ15" s="166"/>
      <c r="EK15" s="166"/>
      <c r="EL15" s="166"/>
      <c r="EM15" s="166"/>
      <c r="EN15" s="166"/>
      <c r="EO15" s="166"/>
      <c r="EP15" s="166"/>
      <c r="EQ15" s="166"/>
      <c r="ER15" s="166"/>
      <c r="ES15" s="166"/>
      <c r="ET15" s="166"/>
      <c r="EU15" s="166"/>
      <c r="EV15" s="166"/>
      <c r="EW15" s="166"/>
      <c r="EX15" s="166"/>
      <c r="EY15" s="166"/>
      <c r="EZ15" s="166"/>
      <c r="FA15" s="166"/>
      <c r="FB15" s="166"/>
      <c r="FC15" s="166"/>
      <c r="FD15" s="166"/>
      <c r="FE15" s="166"/>
      <c r="FF15" s="166"/>
      <c r="FG15" s="166"/>
      <c r="FH15" s="166"/>
      <c r="FI15" s="166"/>
      <c r="FJ15" s="166"/>
      <c r="FK15" s="166"/>
      <c r="FL15" s="166"/>
      <c r="FM15" s="166"/>
      <c r="FN15" s="166"/>
      <c r="FO15" s="166"/>
      <c r="FP15" s="166"/>
      <c r="FQ15" s="166"/>
      <c r="FR15" s="166"/>
      <c r="FS15" s="166"/>
      <c r="FT15" s="166"/>
      <c r="FU15" s="166"/>
      <c r="FV15" s="166"/>
      <c r="FW15" s="166"/>
      <c r="FX15" s="166"/>
      <c r="FY15" s="166"/>
      <c r="FZ15" s="166"/>
      <c r="GA15" s="166"/>
      <c r="GB15" s="166"/>
      <c r="GC15" s="166"/>
      <c r="GD15" s="166"/>
      <c r="GE15" s="166"/>
      <c r="GF15" s="166"/>
      <c r="GG15" s="166"/>
      <c r="GH15" s="166"/>
      <c r="GI15" s="166"/>
      <c r="GJ15" s="166"/>
      <c r="GK15" s="166"/>
      <c r="GL15" s="166"/>
      <c r="GM15" s="166"/>
      <c r="GN15" s="166"/>
      <c r="GO15" s="166"/>
      <c r="GP15" s="166"/>
      <c r="GQ15" s="166"/>
      <c r="GR15" s="166"/>
      <c r="GS15" s="166"/>
      <c r="GT15" s="166"/>
      <c r="GU15" s="166"/>
      <c r="GV15" s="166"/>
      <c r="GW15" s="166"/>
      <c r="GX15" s="166"/>
      <c r="GY15" s="166"/>
      <c r="GZ15" s="166"/>
      <c r="HA15" s="166"/>
      <c r="HB15" s="166"/>
      <c r="HC15" s="166"/>
      <c r="HD15" s="166"/>
      <c r="HE15" s="166"/>
      <c r="HF15" s="166"/>
      <c r="HG15" s="166"/>
      <c r="HH15" s="166"/>
      <c r="HI15" s="166"/>
      <c r="HJ15" s="166"/>
      <c r="HK15" s="166"/>
      <c r="HL15" s="166"/>
      <c r="HM15" s="166"/>
      <c r="HN15" s="166"/>
      <c r="HO15" s="166"/>
      <c r="HP15" s="166"/>
      <c r="HQ15" s="166"/>
      <c r="HR15" s="166"/>
      <c r="HS15" s="166"/>
      <c r="HT15" s="166"/>
      <c r="HU15" s="166"/>
      <c r="HV15" s="166"/>
      <c r="HW15" s="166"/>
      <c r="HX15" s="166"/>
      <c r="HY15" s="166"/>
      <c r="HZ15" s="166"/>
      <c r="IA15" s="166"/>
      <c r="IB15" s="166"/>
      <c r="IC15" s="166"/>
      <c r="ID15" s="166"/>
      <c r="IE15" s="166"/>
      <c r="IF15" s="166"/>
      <c r="IG15" s="166"/>
      <c r="IH15" s="166"/>
      <c r="II15" s="166"/>
      <c r="IJ15" s="166"/>
      <c r="IK15" s="166"/>
      <c r="IL15" s="166"/>
      <c r="IM15" s="166"/>
    </row>
    <row r="16" spans="1:247" customFormat="1" ht="14.25">
      <c r="A16" s="205" t="s">
        <v>131</v>
      </c>
      <c r="B16" s="205"/>
      <c r="C16" s="207">
        <v>24.58</v>
      </c>
      <c r="D16" s="208">
        <f>TARIFFE2020!F58</f>
        <v>17.456243189224644</v>
      </c>
      <c r="E16" s="209">
        <f>$D$7*F16</f>
        <v>17.600000000000001</v>
      </c>
      <c r="F16" s="210">
        <f>CEILING(D16/$D$7,0.01)</f>
        <v>0.44</v>
      </c>
      <c r="G16" s="211"/>
      <c r="H16" s="211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  <c r="DT16" s="166"/>
      <c r="DU16" s="166"/>
      <c r="DV16" s="166"/>
      <c r="DW16" s="166"/>
      <c r="DX16" s="166"/>
      <c r="DY16" s="166"/>
      <c r="DZ16" s="166"/>
      <c r="EA16" s="166"/>
      <c r="EB16" s="166"/>
      <c r="EC16" s="166"/>
      <c r="ED16" s="166"/>
      <c r="EE16" s="166"/>
      <c r="EF16" s="166"/>
      <c r="EG16" s="166"/>
      <c r="EH16" s="166"/>
      <c r="EI16" s="166"/>
      <c r="EJ16" s="166"/>
      <c r="EK16" s="166"/>
      <c r="EL16" s="166"/>
      <c r="EM16" s="166"/>
      <c r="EN16" s="166"/>
      <c r="EO16" s="166"/>
      <c r="EP16" s="166"/>
      <c r="EQ16" s="166"/>
      <c r="ER16" s="166"/>
      <c r="ES16" s="166"/>
      <c r="ET16" s="166"/>
      <c r="EU16" s="166"/>
      <c r="EV16" s="166"/>
      <c r="EW16" s="166"/>
      <c r="EX16" s="166"/>
      <c r="EY16" s="166"/>
      <c r="EZ16" s="166"/>
      <c r="FA16" s="166"/>
      <c r="FB16" s="166"/>
      <c r="FC16" s="166"/>
      <c r="FD16" s="166"/>
      <c r="FE16" s="166"/>
      <c r="FF16" s="166"/>
      <c r="FG16" s="166"/>
      <c r="FH16" s="166"/>
      <c r="FI16" s="166"/>
      <c r="FJ16" s="166"/>
      <c r="FK16" s="166"/>
      <c r="FL16" s="166"/>
      <c r="FM16" s="166"/>
      <c r="FN16" s="166"/>
      <c r="FO16" s="166"/>
      <c r="FP16" s="166"/>
      <c r="FQ16" s="166"/>
      <c r="FR16" s="166"/>
      <c r="FS16" s="166"/>
      <c r="FT16" s="166"/>
      <c r="FU16" s="166"/>
      <c r="FV16" s="166"/>
      <c r="FW16" s="166"/>
      <c r="FX16" s="166"/>
      <c r="FY16" s="166"/>
      <c r="FZ16" s="166"/>
      <c r="GA16" s="166"/>
      <c r="GB16" s="166"/>
      <c r="GC16" s="166"/>
      <c r="GD16" s="166"/>
      <c r="GE16" s="166"/>
      <c r="GF16" s="166"/>
      <c r="GG16" s="166"/>
      <c r="GH16" s="166"/>
      <c r="GI16" s="166"/>
      <c r="GJ16" s="166"/>
      <c r="GK16" s="166"/>
      <c r="GL16" s="166"/>
      <c r="GM16" s="166"/>
      <c r="GN16" s="166"/>
      <c r="GO16" s="166"/>
      <c r="GP16" s="166"/>
      <c r="GQ16" s="166"/>
      <c r="GR16" s="166"/>
      <c r="GS16" s="166"/>
      <c r="GT16" s="166"/>
      <c r="GU16" s="166"/>
      <c r="GV16" s="166"/>
      <c r="GW16" s="166"/>
      <c r="GX16" s="166"/>
      <c r="GY16" s="166"/>
      <c r="GZ16" s="166"/>
      <c r="HA16" s="166"/>
      <c r="HB16" s="166"/>
      <c r="HC16" s="166"/>
      <c r="HD16" s="166"/>
      <c r="HE16" s="166"/>
      <c r="HF16" s="166"/>
      <c r="HG16" s="166"/>
      <c r="HH16" s="166"/>
      <c r="HI16" s="166"/>
      <c r="HJ16" s="166"/>
      <c r="HK16" s="166"/>
      <c r="HL16" s="166"/>
      <c r="HM16" s="166"/>
      <c r="HN16" s="166"/>
      <c r="HO16" s="166"/>
      <c r="HP16" s="166"/>
      <c r="HQ16" s="166"/>
      <c r="HR16" s="166"/>
      <c r="HS16" s="166"/>
      <c r="HT16" s="166"/>
      <c r="HU16" s="166"/>
      <c r="HV16" s="166"/>
      <c r="HW16" s="166"/>
      <c r="HX16" s="166"/>
      <c r="HY16" s="166"/>
      <c r="HZ16" s="166"/>
      <c r="IA16" s="166"/>
      <c r="IB16" s="166"/>
      <c r="IC16" s="166"/>
      <c r="ID16" s="166"/>
      <c r="IE16" s="166"/>
      <c r="IF16" s="166"/>
      <c r="IG16" s="166"/>
      <c r="IH16" s="166"/>
      <c r="II16" s="166"/>
      <c r="IJ16" s="166"/>
      <c r="IK16" s="166"/>
      <c r="IL16" s="166"/>
      <c r="IM16" s="166"/>
    </row>
    <row r="17" spans="1:247" customFormat="1" ht="14.25">
      <c r="A17" s="205" t="s">
        <v>132</v>
      </c>
      <c r="B17" s="205"/>
      <c r="C17" s="207">
        <v>36.880000000000003</v>
      </c>
      <c r="D17" s="208">
        <f>TARIFFE2020!F59</f>
        <v>26.184364783836966</v>
      </c>
      <c r="E17" s="209">
        <f>$D$7*F17</f>
        <v>26.400000000000002</v>
      </c>
      <c r="F17" s="210">
        <f>CEILING(D17/$D$7,0.01)</f>
        <v>0.66</v>
      </c>
      <c r="G17" s="211"/>
      <c r="H17" s="211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6"/>
      <c r="EO17" s="166"/>
      <c r="EP17" s="166"/>
      <c r="EQ17" s="166"/>
      <c r="ER17" s="166"/>
      <c r="ES17" s="166"/>
      <c r="ET17" s="166"/>
      <c r="EU17" s="166"/>
      <c r="EV17" s="166"/>
      <c r="EW17" s="166"/>
      <c r="EX17" s="166"/>
      <c r="EY17" s="166"/>
      <c r="EZ17" s="166"/>
      <c r="FA17" s="166"/>
      <c r="FB17" s="166"/>
      <c r="FC17" s="166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  <c r="HQ17" s="166"/>
      <c r="HR17" s="166"/>
      <c r="HS17" s="166"/>
      <c r="HT17" s="166"/>
      <c r="HU17" s="166"/>
      <c r="HV17" s="166"/>
      <c r="HW17" s="166"/>
      <c r="HX17" s="166"/>
      <c r="HY17" s="166"/>
      <c r="HZ17" s="166"/>
      <c r="IA17" s="166"/>
      <c r="IB17" s="166"/>
      <c r="IC17" s="166"/>
      <c r="ID17" s="166"/>
      <c r="IE17" s="166"/>
      <c r="IF17" s="166"/>
      <c r="IG17" s="166"/>
      <c r="IH17" s="166"/>
      <c r="II17" s="166"/>
      <c r="IJ17" s="166"/>
      <c r="IK17" s="166"/>
      <c r="IL17" s="166"/>
      <c r="IM17" s="166"/>
    </row>
    <row r="18" spans="1:247" customFormat="1" ht="14.25">
      <c r="A18" s="212" t="s">
        <v>133</v>
      </c>
      <c r="B18" s="212"/>
      <c r="C18" s="213">
        <v>49.17</v>
      </c>
      <c r="D18" s="214">
        <f>TARIFFE2020!F60</f>
        <v>34.912486378449287</v>
      </c>
      <c r="E18" s="215">
        <f>$D$7*F18</f>
        <v>35.200000000000003</v>
      </c>
      <c r="F18" s="216">
        <f>CEILING(D18/$D$7,0.01)</f>
        <v>0.88</v>
      </c>
      <c r="G18" s="211"/>
      <c r="H18" s="211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6"/>
      <c r="DY18" s="166"/>
      <c r="DZ18" s="166"/>
      <c r="EA18" s="166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66"/>
      <c r="GN18" s="166"/>
      <c r="GO18" s="166"/>
      <c r="GP18" s="166"/>
      <c r="GQ18" s="166"/>
      <c r="GR18" s="166"/>
      <c r="GS18" s="166"/>
      <c r="GT18" s="166"/>
      <c r="GU18" s="166"/>
      <c r="GV18" s="166"/>
      <c r="GW18" s="166"/>
      <c r="GX18" s="166"/>
      <c r="GY18" s="166"/>
      <c r="GZ18" s="166"/>
      <c r="HA18" s="166"/>
      <c r="HB18" s="166"/>
      <c r="HC18" s="166"/>
      <c r="HD18" s="166"/>
      <c r="HE18" s="166"/>
      <c r="HF18" s="166"/>
      <c r="HG18" s="166"/>
      <c r="HH18" s="166"/>
      <c r="HI18" s="166"/>
      <c r="HJ18" s="166"/>
      <c r="HK18" s="166"/>
      <c r="HL18" s="166"/>
      <c r="HM18" s="166"/>
      <c r="HN18" s="166"/>
      <c r="HO18" s="166"/>
      <c r="HP18" s="166"/>
      <c r="HQ18" s="166"/>
      <c r="HR18" s="166"/>
      <c r="HS18" s="166"/>
      <c r="HT18" s="166"/>
      <c r="HU18" s="166"/>
      <c r="HV18" s="166"/>
      <c r="HW18" s="166"/>
      <c r="HX18" s="166"/>
      <c r="HY18" s="166"/>
      <c r="HZ18" s="166"/>
      <c r="IA18" s="166"/>
      <c r="IB18" s="166"/>
      <c r="IC18" s="166"/>
      <c r="ID18" s="166"/>
      <c r="IE18" s="166"/>
      <c r="IF18" s="166"/>
      <c r="IG18" s="166"/>
      <c r="IH18" s="166"/>
      <c r="II18" s="166"/>
      <c r="IJ18" s="166"/>
      <c r="IK18" s="166"/>
      <c r="IL18" s="166"/>
      <c r="IM18" s="166"/>
    </row>
    <row r="19" spans="1:247" customFormat="1" ht="15">
      <c r="A19" s="298" t="s">
        <v>134</v>
      </c>
      <c r="B19" s="298"/>
      <c r="C19" s="298"/>
      <c r="D19" s="298"/>
      <c r="E19" s="298"/>
      <c r="F19" s="298"/>
      <c r="G19" s="211"/>
      <c r="H19" s="211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6"/>
      <c r="CY19" s="166"/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6"/>
      <c r="DK19" s="166"/>
      <c r="DL19" s="166"/>
      <c r="DM19" s="166"/>
      <c r="DN19" s="166"/>
      <c r="DO19" s="166"/>
      <c r="DP19" s="166"/>
      <c r="DQ19" s="166"/>
      <c r="DR19" s="166"/>
      <c r="DS19" s="166"/>
      <c r="DT19" s="166"/>
      <c r="DU19" s="166"/>
      <c r="DV19" s="166"/>
      <c r="DW19" s="166"/>
      <c r="DX19" s="166"/>
      <c r="DY19" s="166"/>
      <c r="DZ19" s="166"/>
      <c r="EA19" s="166"/>
      <c r="EB19" s="166"/>
      <c r="EC19" s="166"/>
      <c r="ED19" s="166"/>
      <c r="EE19" s="166"/>
      <c r="EF19" s="166"/>
      <c r="EG19" s="166"/>
      <c r="EH19" s="166"/>
      <c r="EI19" s="166"/>
      <c r="EJ19" s="166"/>
      <c r="EK19" s="166"/>
      <c r="EL19" s="166"/>
      <c r="EM19" s="166"/>
      <c r="EN19" s="166"/>
      <c r="EO19" s="166"/>
      <c r="EP19" s="166"/>
      <c r="EQ19" s="166"/>
      <c r="ER19" s="166"/>
      <c r="ES19" s="166"/>
      <c r="ET19" s="166"/>
      <c r="EU19" s="166"/>
      <c r="EV19" s="166"/>
      <c r="EW19" s="166"/>
      <c r="EX19" s="166"/>
      <c r="EY19" s="166"/>
      <c r="EZ19" s="166"/>
      <c r="FA19" s="166"/>
      <c r="FB19" s="166"/>
      <c r="FC19" s="166"/>
      <c r="FD19" s="166"/>
      <c r="FE19" s="166"/>
      <c r="FF19" s="166"/>
      <c r="FG19" s="166"/>
      <c r="FH19" s="166"/>
      <c r="FI19" s="166"/>
      <c r="FJ19" s="166"/>
      <c r="FK19" s="166"/>
      <c r="FL19" s="166"/>
      <c r="FM19" s="166"/>
      <c r="FN19" s="166"/>
      <c r="FO19" s="166"/>
      <c r="FP19" s="166"/>
      <c r="FQ19" s="166"/>
      <c r="FR19" s="166"/>
      <c r="FS19" s="166"/>
      <c r="FT19" s="166"/>
      <c r="FU19" s="166"/>
      <c r="FV19" s="166"/>
      <c r="FW19" s="166"/>
      <c r="FX19" s="166"/>
      <c r="FY19" s="166"/>
      <c r="FZ19" s="166"/>
      <c r="GA19" s="166"/>
      <c r="GB19" s="166"/>
      <c r="GC19" s="166"/>
      <c r="GD19" s="166"/>
      <c r="GE19" s="166"/>
      <c r="GF19" s="166"/>
      <c r="GG19" s="166"/>
      <c r="GH19" s="166"/>
      <c r="GI19" s="166"/>
      <c r="GJ19" s="166"/>
      <c r="GK19" s="166"/>
      <c r="GL19" s="166"/>
      <c r="GM19" s="166"/>
      <c r="GN19" s="166"/>
      <c r="GO19" s="166"/>
      <c r="GP19" s="166"/>
      <c r="GQ19" s="166"/>
      <c r="GR19" s="166"/>
      <c r="GS19" s="166"/>
      <c r="GT19" s="166"/>
      <c r="GU19" s="166"/>
      <c r="GV19" s="166"/>
      <c r="GW19" s="166"/>
      <c r="GX19" s="166"/>
      <c r="GY19" s="166"/>
      <c r="GZ19" s="166"/>
      <c r="HA19" s="166"/>
      <c r="HB19" s="166"/>
      <c r="HC19" s="166"/>
      <c r="HD19" s="166"/>
      <c r="HE19" s="166"/>
      <c r="HF19" s="166"/>
      <c r="HG19" s="166"/>
      <c r="HH19" s="166"/>
      <c r="HI19" s="166"/>
      <c r="HJ19" s="166"/>
      <c r="HK19" s="166"/>
      <c r="HL19" s="166"/>
      <c r="HM19" s="166"/>
      <c r="HN19" s="166"/>
      <c r="HO19" s="166"/>
      <c r="HP19" s="166"/>
      <c r="HQ19" s="166"/>
      <c r="HR19" s="166"/>
      <c r="HS19" s="166"/>
      <c r="HT19" s="166"/>
      <c r="HU19" s="166"/>
      <c r="HV19" s="166"/>
      <c r="HW19" s="166"/>
      <c r="HX19" s="166"/>
      <c r="HY19" s="166"/>
      <c r="HZ19" s="166"/>
      <c r="IA19" s="166"/>
      <c r="IB19" s="166"/>
      <c r="IC19" s="166"/>
      <c r="ID19" s="166"/>
      <c r="IE19" s="166"/>
      <c r="IF19" s="166"/>
      <c r="IG19" s="166"/>
      <c r="IH19" s="166"/>
      <c r="II19" s="166"/>
      <c r="IJ19" s="166"/>
      <c r="IK19" s="166"/>
      <c r="IL19" s="166"/>
      <c r="IM19" s="166"/>
    </row>
    <row r="20" spans="1:247" s="165" customFormat="1" ht="14.25">
      <c r="A20" s="205" t="s">
        <v>130</v>
      </c>
      <c r="B20" s="205"/>
      <c r="C20" s="207">
        <v>49.17</v>
      </c>
      <c r="D20" s="208">
        <f>TARIFFE2020!F61</f>
        <v>26.855758752653298</v>
      </c>
      <c r="E20" s="209">
        <f>$D$7*F20</f>
        <v>27.200000000000003</v>
      </c>
      <c r="F20" s="210">
        <f>CEILING(D20/$D$7,0.01)</f>
        <v>0.68</v>
      </c>
      <c r="G20" s="211"/>
      <c r="H20" s="211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6"/>
      <c r="CT20" s="166"/>
      <c r="CU20" s="166"/>
      <c r="CV20" s="166"/>
      <c r="CW20" s="166"/>
      <c r="CX20" s="166"/>
      <c r="CY20" s="166"/>
      <c r="CZ20" s="166"/>
      <c r="DA20" s="166"/>
      <c r="DB20" s="166"/>
      <c r="DC20" s="166"/>
      <c r="DD20" s="166"/>
      <c r="DE20" s="166"/>
      <c r="DF20" s="166"/>
      <c r="DG20" s="166"/>
      <c r="DH20" s="166"/>
      <c r="DI20" s="166"/>
      <c r="DJ20" s="166"/>
      <c r="DK20" s="166"/>
      <c r="DL20" s="166"/>
      <c r="DM20" s="166"/>
      <c r="DN20" s="166"/>
      <c r="DO20" s="166"/>
      <c r="DP20" s="166"/>
      <c r="DQ20" s="166"/>
      <c r="DR20" s="166"/>
      <c r="DS20" s="166"/>
      <c r="DT20" s="166"/>
      <c r="DU20" s="166"/>
      <c r="DV20" s="166"/>
      <c r="DW20" s="166"/>
      <c r="DX20" s="166"/>
      <c r="DY20" s="166"/>
      <c r="DZ20" s="166"/>
      <c r="EA20" s="166"/>
      <c r="EB20" s="166"/>
      <c r="EC20" s="166"/>
      <c r="ED20" s="166"/>
      <c r="EE20" s="166"/>
      <c r="EF20" s="166"/>
      <c r="EG20" s="166"/>
      <c r="EH20" s="166"/>
      <c r="EI20" s="166"/>
      <c r="EJ20" s="166"/>
      <c r="EK20" s="166"/>
      <c r="EL20" s="166"/>
      <c r="EM20" s="166"/>
      <c r="EN20" s="166"/>
      <c r="EO20" s="166"/>
      <c r="EP20" s="166"/>
      <c r="EQ20" s="166"/>
      <c r="ER20" s="166"/>
      <c r="ES20" s="166"/>
      <c r="ET20" s="166"/>
      <c r="EU20" s="166"/>
      <c r="EV20" s="166"/>
      <c r="EW20" s="166"/>
      <c r="EX20" s="166"/>
      <c r="EY20" s="166"/>
      <c r="EZ20" s="166"/>
      <c r="FA20" s="166"/>
      <c r="FB20" s="166"/>
      <c r="FC20" s="166"/>
      <c r="FD20" s="166"/>
      <c r="FE20" s="166"/>
      <c r="FF20" s="166"/>
      <c r="FG20" s="166"/>
      <c r="FH20" s="166"/>
      <c r="FI20" s="166"/>
      <c r="FJ20" s="166"/>
      <c r="FK20" s="166"/>
      <c r="FL20" s="166"/>
      <c r="FM20" s="166"/>
      <c r="FN20" s="166"/>
      <c r="FO20" s="166"/>
      <c r="FP20" s="166"/>
      <c r="FQ20" s="166"/>
      <c r="FR20" s="166"/>
      <c r="FS20" s="166"/>
      <c r="FT20" s="166"/>
      <c r="FU20" s="166"/>
      <c r="FV20" s="166"/>
      <c r="FW20" s="166"/>
      <c r="FX20" s="166"/>
      <c r="FY20" s="166"/>
      <c r="FZ20" s="166"/>
      <c r="GA20" s="166"/>
      <c r="GB20" s="166"/>
      <c r="GC20" s="166"/>
      <c r="GD20" s="166"/>
      <c r="GE20" s="166"/>
      <c r="GF20" s="166"/>
      <c r="GG20" s="166"/>
      <c r="GH20" s="166"/>
      <c r="GI20" s="166"/>
      <c r="GJ20" s="166"/>
      <c r="GK20" s="166"/>
      <c r="GL20" s="166"/>
      <c r="GM20" s="166"/>
      <c r="GN20" s="166"/>
      <c r="GO20" s="166"/>
      <c r="GP20" s="166"/>
      <c r="GQ20" s="166"/>
      <c r="GR20" s="166"/>
      <c r="GS20" s="166"/>
      <c r="GT20" s="166"/>
      <c r="GU20" s="166"/>
      <c r="GV20" s="166"/>
      <c r="GW20" s="166"/>
      <c r="GX20" s="166"/>
      <c r="GY20" s="166"/>
      <c r="GZ20" s="166"/>
      <c r="HA20" s="166"/>
      <c r="HB20" s="166"/>
      <c r="HC20" s="166"/>
      <c r="HD20" s="166"/>
      <c r="HE20" s="166"/>
      <c r="HF20" s="166"/>
      <c r="HG20" s="166"/>
      <c r="HH20" s="166"/>
      <c r="HI20" s="166"/>
      <c r="HJ20" s="166"/>
      <c r="HK20" s="166"/>
      <c r="HL20" s="166"/>
      <c r="HM20" s="166"/>
      <c r="HN20" s="166"/>
      <c r="HO20" s="166"/>
      <c r="HP20" s="166"/>
      <c r="HQ20" s="166"/>
      <c r="HR20" s="166"/>
      <c r="HS20" s="166"/>
      <c r="HT20" s="166"/>
      <c r="HU20" s="166"/>
      <c r="HV20" s="166"/>
      <c r="HW20" s="166"/>
      <c r="HX20" s="166"/>
      <c r="HY20" s="166"/>
      <c r="HZ20" s="166"/>
      <c r="IA20" s="166"/>
      <c r="IB20" s="166"/>
      <c r="IC20" s="166"/>
      <c r="ID20" s="166"/>
      <c r="IE20" s="166"/>
      <c r="IF20" s="166"/>
      <c r="IG20" s="166"/>
      <c r="IH20" s="166"/>
      <c r="II20" s="166"/>
      <c r="IJ20" s="166"/>
      <c r="IK20" s="166"/>
      <c r="IL20" s="166"/>
      <c r="IM20" s="166"/>
    </row>
    <row r="21" spans="1:247" customFormat="1" ht="14.25">
      <c r="A21" s="205" t="s">
        <v>135</v>
      </c>
      <c r="B21" s="205"/>
      <c r="C21" s="207">
        <v>49.17</v>
      </c>
      <c r="D21" s="208">
        <f>TARIFFE2020!F62</f>
        <v>34.912486378449287</v>
      </c>
      <c r="E21" s="209">
        <f>$D$7*F21</f>
        <v>35.200000000000003</v>
      </c>
      <c r="F21" s="210">
        <f>CEILING(D21/$D$7,0.01)</f>
        <v>0.88</v>
      </c>
      <c r="G21" s="211"/>
      <c r="H21" s="211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6"/>
      <c r="DC21" s="166"/>
      <c r="DD21" s="166"/>
      <c r="DE21" s="166"/>
      <c r="DF21" s="166"/>
      <c r="DG21" s="166"/>
      <c r="DH21" s="166"/>
      <c r="DI21" s="166"/>
      <c r="DJ21" s="166"/>
      <c r="DK21" s="166"/>
      <c r="DL21" s="166"/>
      <c r="DM21" s="166"/>
      <c r="DN21" s="166"/>
      <c r="DO21" s="166"/>
      <c r="DP21" s="166"/>
      <c r="DQ21" s="166"/>
      <c r="DR21" s="166"/>
      <c r="DS21" s="166"/>
      <c r="DT21" s="166"/>
      <c r="DU21" s="166"/>
      <c r="DV21" s="166"/>
      <c r="DW21" s="166"/>
      <c r="DX21" s="166"/>
      <c r="DY21" s="166"/>
      <c r="DZ21" s="166"/>
      <c r="EA21" s="166"/>
      <c r="EB21" s="166"/>
      <c r="EC21" s="166"/>
      <c r="ED21" s="166"/>
      <c r="EE21" s="166"/>
      <c r="EF21" s="166"/>
      <c r="EG21" s="166"/>
      <c r="EH21" s="166"/>
      <c r="EI21" s="166"/>
      <c r="EJ21" s="166"/>
      <c r="EK21" s="166"/>
      <c r="EL21" s="166"/>
      <c r="EM21" s="166"/>
      <c r="EN21" s="166"/>
      <c r="EO21" s="166"/>
      <c r="EP21" s="166"/>
      <c r="EQ21" s="166"/>
      <c r="ER21" s="166"/>
      <c r="ES21" s="166"/>
      <c r="ET21" s="166"/>
      <c r="EU21" s="166"/>
      <c r="EV21" s="166"/>
      <c r="EW21" s="166"/>
      <c r="EX21" s="166"/>
      <c r="EY21" s="166"/>
      <c r="EZ21" s="166"/>
      <c r="FA21" s="166"/>
      <c r="FB21" s="166"/>
      <c r="FC21" s="166"/>
      <c r="FD21" s="166"/>
      <c r="FE21" s="166"/>
      <c r="FF21" s="166"/>
      <c r="FG21" s="166"/>
      <c r="FH21" s="166"/>
      <c r="FI21" s="166"/>
      <c r="FJ21" s="166"/>
      <c r="FK21" s="166"/>
      <c r="FL21" s="166"/>
      <c r="FM21" s="166"/>
      <c r="FN21" s="166"/>
      <c r="FO21" s="166"/>
      <c r="FP21" s="166"/>
      <c r="FQ21" s="166"/>
      <c r="FR21" s="166"/>
      <c r="FS21" s="166"/>
      <c r="FT21" s="166"/>
      <c r="FU21" s="166"/>
      <c r="FV21" s="166"/>
      <c r="FW21" s="166"/>
      <c r="FX21" s="166"/>
      <c r="FY21" s="166"/>
      <c r="FZ21" s="166"/>
      <c r="GA21" s="166"/>
      <c r="GB21" s="166"/>
      <c r="GC21" s="166"/>
      <c r="GD21" s="166"/>
      <c r="GE21" s="166"/>
      <c r="GF21" s="166"/>
      <c r="GG21" s="166"/>
      <c r="GH21" s="166"/>
      <c r="GI21" s="166"/>
      <c r="GJ21" s="166"/>
      <c r="GK21" s="166"/>
      <c r="GL21" s="166"/>
      <c r="GM21" s="166"/>
      <c r="GN21" s="166"/>
      <c r="GO21" s="166"/>
      <c r="GP21" s="166"/>
      <c r="GQ21" s="166"/>
      <c r="GR21" s="166"/>
      <c r="GS21" s="166"/>
      <c r="GT21" s="166"/>
      <c r="GU21" s="166"/>
      <c r="GV21" s="166"/>
      <c r="GW21" s="166"/>
      <c r="GX21" s="166"/>
      <c r="GY21" s="166"/>
      <c r="GZ21" s="166"/>
      <c r="HA21" s="166"/>
      <c r="HB21" s="166"/>
      <c r="HC21" s="166"/>
      <c r="HD21" s="166"/>
      <c r="HE21" s="166"/>
      <c r="HF21" s="166"/>
      <c r="HG21" s="166"/>
      <c r="HH21" s="166"/>
      <c r="HI21" s="166"/>
      <c r="HJ21" s="166"/>
      <c r="HK21" s="166"/>
      <c r="HL21" s="166"/>
      <c r="HM21" s="166"/>
      <c r="HN21" s="166"/>
      <c r="HO21" s="166"/>
      <c r="HP21" s="166"/>
      <c r="HQ21" s="166"/>
      <c r="HR21" s="166"/>
      <c r="HS21" s="166"/>
      <c r="HT21" s="166"/>
      <c r="HU21" s="166"/>
      <c r="HV21" s="166"/>
      <c r="HW21" s="166"/>
      <c r="HX21" s="166"/>
      <c r="HY21" s="166"/>
      <c r="HZ21" s="166"/>
      <c r="IA21" s="166"/>
      <c r="IB21" s="166"/>
      <c r="IC21" s="166"/>
      <c r="ID21" s="166"/>
      <c r="IE21" s="166"/>
      <c r="IF21" s="166"/>
      <c r="IG21" s="166"/>
      <c r="IH21" s="166"/>
      <c r="II21" s="166"/>
      <c r="IJ21" s="166"/>
      <c r="IK21" s="166"/>
      <c r="IL21" s="166"/>
      <c r="IM21" s="166"/>
    </row>
    <row r="22" spans="1:247" customFormat="1" ht="14.25">
      <c r="A22" s="212" t="s">
        <v>132</v>
      </c>
      <c r="B22" s="212"/>
      <c r="C22" s="213">
        <v>61.46</v>
      </c>
      <c r="D22" s="214">
        <f>TARIFFE2020!F63</f>
        <v>43.640607973061606</v>
      </c>
      <c r="E22" s="215">
        <f>$D$7*F22</f>
        <v>44</v>
      </c>
      <c r="F22" s="216">
        <f>CEILING(D22/$D$7,0.01)</f>
        <v>1.1000000000000001</v>
      </c>
      <c r="G22" s="211"/>
      <c r="H22" s="211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166"/>
      <c r="BW22" s="166"/>
      <c r="BX22" s="166"/>
      <c r="BY22" s="166"/>
      <c r="BZ22" s="166"/>
      <c r="CA22" s="166"/>
      <c r="CB22" s="166"/>
      <c r="CC22" s="166"/>
      <c r="CD22" s="166"/>
      <c r="CE22" s="166"/>
      <c r="CF22" s="166"/>
      <c r="CG22" s="166"/>
      <c r="CH22" s="166"/>
      <c r="CI22" s="166"/>
      <c r="CJ22" s="166"/>
      <c r="CK22" s="166"/>
      <c r="CL22" s="166"/>
      <c r="CM22" s="166"/>
      <c r="CN22" s="166"/>
      <c r="CO22" s="166"/>
      <c r="CP22" s="166"/>
      <c r="CQ22" s="166"/>
      <c r="CR22" s="166"/>
      <c r="CS22" s="166"/>
      <c r="CT22" s="166"/>
      <c r="CU22" s="166"/>
      <c r="CV22" s="166"/>
      <c r="CW22" s="166"/>
      <c r="CX22" s="166"/>
      <c r="CY22" s="166"/>
      <c r="CZ22" s="166"/>
      <c r="DA22" s="166"/>
      <c r="DB22" s="166"/>
      <c r="DC22" s="166"/>
      <c r="DD22" s="166"/>
      <c r="DE22" s="166"/>
      <c r="DF22" s="166"/>
      <c r="DG22" s="166"/>
      <c r="DH22" s="166"/>
      <c r="DI22" s="166"/>
      <c r="DJ22" s="166"/>
      <c r="DK22" s="166"/>
      <c r="DL22" s="166"/>
      <c r="DM22" s="166"/>
      <c r="DN22" s="166"/>
      <c r="DO22" s="166"/>
      <c r="DP22" s="166"/>
      <c r="DQ22" s="166"/>
      <c r="DR22" s="166"/>
      <c r="DS22" s="166"/>
      <c r="DT22" s="166"/>
      <c r="DU22" s="166"/>
      <c r="DV22" s="166"/>
      <c r="DW22" s="166"/>
      <c r="DX22" s="166"/>
      <c r="DY22" s="166"/>
      <c r="DZ22" s="166"/>
      <c r="EA22" s="166"/>
      <c r="EB22" s="166"/>
      <c r="EC22" s="166"/>
      <c r="ED22" s="166"/>
      <c r="EE22" s="166"/>
      <c r="EF22" s="166"/>
      <c r="EG22" s="166"/>
      <c r="EH22" s="166"/>
      <c r="EI22" s="166"/>
      <c r="EJ22" s="166"/>
      <c r="EK22" s="166"/>
      <c r="EL22" s="166"/>
      <c r="EM22" s="166"/>
      <c r="EN22" s="166"/>
      <c r="EO22" s="166"/>
      <c r="EP22" s="166"/>
      <c r="EQ22" s="166"/>
      <c r="ER22" s="166"/>
      <c r="ES22" s="166"/>
      <c r="ET22" s="166"/>
      <c r="EU22" s="166"/>
      <c r="EV22" s="166"/>
      <c r="EW22" s="166"/>
      <c r="EX22" s="166"/>
      <c r="EY22" s="166"/>
      <c r="EZ22" s="166"/>
      <c r="FA22" s="166"/>
      <c r="FB22" s="166"/>
      <c r="FC22" s="166"/>
      <c r="FD22" s="166"/>
      <c r="FE22" s="166"/>
      <c r="FF22" s="166"/>
      <c r="FG22" s="166"/>
      <c r="FH22" s="166"/>
      <c r="FI22" s="166"/>
      <c r="FJ22" s="166"/>
      <c r="FK22" s="166"/>
      <c r="FL22" s="166"/>
      <c r="FM22" s="166"/>
      <c r="FN22" s="166"/>
      <c r="FO22" s="166"/>
      <c r="FP22" s="166"/>
      <c r="FQ22" s="166"/>
      <c r="FR22" s="166"/>
      <c r="FS22" s="166"/>
      <c r="FT22" s="166"/>
      <c r="FU22" s="166"/>
      <c r="FV22" s="166"/>
      <c r="FW22" s="166"/>
      <c r="FX22" s="166"/>
      <c r="FY22" s="166"/>
      <c r="FZ22" s="166"/>
      <c r="GA22" s="166"/>
      <c r="GB22" s="166"/>
      <c r="GC22" s="166"/>
      <c r="GD22" s="166"/>
      <c r="GE22" s="166"/>
      <c r="GF22" s="166"/>
      <c r="GG22" s="166"/>
      <c r="GH22" s="166"/>
      <c r="GI22" s="166"/>
      <c r="GJ22" s="166"/>
      <c r="GK22" s="166"/>
      <c r="GL22" s="166"/>
      <c r="GM22" s="166"/>
      <c r="GN22" s="166"/>
      <c r="GO22" s="166"/>
      <c r="GP22" s="166"/>
      <c r="GQ22" s="166"/>
      <c r="GR22" s="166"/>
      <c r="GS22" s="166"/>
      <c r="GT22" s="166"/>
      <c r="GU22" s="166"/>
      <c r="GV22" s="166"/>
      <c r="GW22" s="166"/>
      <c r="GX22" s="166"/>
      <c r="GY22" s="166"/>
      <c r="GZ22" s="166"/>
      <c r="HA22" s="166"/>
      <c r="HB22" s="166"/>
      <c r="HC22" s="166"/>
      <c r="HD22" s="166"/>
      <c r="HE22" s="166"/>
      <c r="HF22" s="166"/>
      <c r="HG22" s="166"/>
      <c r="HH22" s="166"/>
      <c r="HI22" s="166"/>
      <c r="HJ22" s="166"/>
      <c r="HK22" s="166"/>
      <c r="HL22" s="166"/>
      <c r="HM22" s="166"/>
      <c r="HN22" s="166"/>
      <c r="HO22" s="166"/>
      <c r="HP22" s="166"/>
      <c r="HQ22" s="166"/>
      <c r="HR22" s="166"/>
      <c r="HS22" s="166"/>
      <c r="HT22" s="166"/>
      <c r="HU22" s="166"/>
      <c r="HV22" s="166"/>
      <c r="HW22" s="166"/>
      <c r="HX22" s="166"/>
      <c r="HY22" s="166"/>
      <c r="HZ22" s="166"/>
      <c r="IA22" s="166"/>
      <c r="IB22" s="166"/>
      <c r="IC22" s="166"/>
      <c r="ID22" s="166"/>
      <c r="IE22" s="166"/>
      <c r="IF22" s="166"/>
      <c r="IG22" s="166"/>
      <c r="IH22" s="166"/>
      <c r="II22" s="166"/>
      <c r="IJ22" s="166"/>
      <c r="IK22" s="166"/>
      <c r="IL22" s="166"/>
      <c r="IM22" s="166"/>
    </row>
    <row r="23" spans="1:247" customFormat="1" ht="14.25">
      <c r="A23" s="217" t="s">
        <v>133</v>
      </c>
      <c r="B23" s="217"/>
      <c r="C23" s="218">
        <v>73.75</v>
      </c>
      <c r="D23" s="219">
        <f>TARIFFE2020!F64</f>
        <v>52.368729567673931</v>
      </c>
      <c r="E23" s="209">
        <f>$D$7*F23</f>
        <v>52.400000000000006</v>
      </c>
      <c r="F23" s="210">
        <f>CEILING(D23/$D$7,0.01)</f>
        <v>1.31</v>
      </c>
      <c r="G23" s="211"/>
      <c r="H23" s="211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6"/>
      <c r="CD23" s="166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6"/>
      <c r="CT23" s="166"/>
      <c r="CU23" s="166"/>
      <c r="CV23" s="166"/>
      <c r="CW23" s="166"/>
      <c r="CX23" s="166"/>
      <c r="CY23" s="166"/>
      <c r="CZ23" s="166"/>
      <c r="DA23" s="166"/>
      <c r="DB23" s="166"/>
      <c r="DC23" s="166"/>
      <c r="DD23" s="166"/>
      <c r="DE23" s="166"/>
      <c r="DF23" s="166"/>
      <c r="DG23" s="166"/>
      <c r="DH23" s="166"/>
      <c r="DI23" s="166"/>
      <c r="DJ23" s="166"/>
      <c r="DK23" s="166"/>
      <c r="DL23" s="166"/>
      <c r="DM23" s="166"/>
      <c r="DN23" s="166"/>
      <c r="DO23" s="166"/>
      <c r="DP23" s="166"/>
      <c r="DQ23" s="166"/>
      <c r="DR23" s="166"/>
      <c r="DS23" s="166"/>
      <c r="DT23" s="166"/>
      <c r="DU23" s="166"/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6"/>
      <c r="FE23" s="166"/>
      <c r="FF23" s="166"/>
      <c r="FG23" s="166"/>
      <c r="FH23" s="166"/>
      <c r="FI23" s="166"/>
      <c r="FJ23" s="166"/>
      <c r="FK23" s="166"/>
      <c r="FL23" s="166"/>
      <c r="FM23" s="166"/>
      <c r="FN23" s="166"/>
      <c r="FO23" s="166"/>
      <c r="FP23" s="166"/>
      <c r="FQ23" s="166"/>
      <c r="FR23" s="166"/>
      <c r="FS23" s="166"/>
      <c r="FT23" s="166"/>
      <c r="FU23" s="166"/>
      <c r="FV23" s="166"/>
      <c r="FW23" s="166"/>
      <c r="FX23" s="166"/>
      <c r="FY23" s="166"/>
      <c r="FZ23" s="166"/>
      <c r="GA23" s="166"/>
      <c r="GB23" s="166"/>
      <c r="GC23" s="166"/>
      <c r="GD23" s="166"/>
      <c r="GE23" s="166"/>
      <c r="GF23" s="166"/>
      <c r="GG23" s="166"/>
      <c r="GH23" s="166"/>
      <c r="GI23" s="166"/>
      <c r="GJ23" s="166"/>
      <c r="GK23" s="166"/>
      <c r="GL23" s="166"/>
      <c r="GM23" s="166"/>
      <c r="GN23" s="166"/>
      <c r="GO23" s="166"/>
      <c r="GP23" s="166"/>
      <c r="GQ23" s="166"/>
      <c r="GR23" s="166"/>
      <c r="GS23" s="166"/>
      <c r="GT23" s="166"/>
      <c r="GU23" s="166"/>
      <c r="GV23" s="166"/>
      <c r="GW23" s="166"/>
      <c r="GX23" s="166"/>
      <c r="GY23" s="166"/>
      <c r="GZ23" s="166"/>
      <c r="HA23" s="166"/>
      <c r="HB23" s="166"/>
      <c r="HC23" s="166"/>
      <c r="HD23" s="166"/>
      <c r="HE23" s="166"/>
      <c r="HF23" s="166"/>
      <c r="HG23" s="166"/>
      <c r="HH23" s="166"/>
      <c r="HI23" s="166"/>
      <c r="HJ23" s="166"/>
      <c r="HK23" s="166"/>
      <c r="HL23" s="166"/>
      <c r="HM23" s="166"/>
      <c r="HN23" s="166"/>
      <c r="HO23" s="166"/>
      <c r="HP23" s="166"/>
      <c r="HQ23" s="166"/>
      <c r="HR23" s="166"/>
      <c r="HS23" s="166"/>
      <c r="HT23" s="166"/>
      <c r="HU23" s="166"/>
      <c r="HV23" s="166"/>
      <c r="HW23" s="166"/>
      <c r="HX23" s="166"/>
      <c r="HY23" s="166"/>
      <c r="HZ23" s="166"/>
      <c r="IA23" s="166"/>
      <c r="IB23" s="166"/>
      <c r="IC23" s="166"/>
      <c r="ID23" s="166"/>
      <c r="IE23" s="166"/>
      <c r="IF23" s="166"/>
      <c r="IG23" s="166"/>
      <c r="IH23" s="166"/>
      <c r="II23" s="166"/>
      <c r="IJ23" s="166"/>
      <c r="IK23" s="166"/>
      <c r="IL23" s="166"/>
      <c r="IM23" s="166"/>
    </row>
    <row r="24" spans="1:247" customFormat="1" ht="15">
      <c r="A24" s="299" t="s">
        <v>136</v>
      </c>
      <c r="B24" s="300"/>
      <c r="C24" s="300"/>
      <c r="D24" s="300"/>
      <c r="E24" s="300"/>
      <c r="F24" s="300"/>
      <c r="G24" s="211"/>
      <c r="H24" s="211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6"/>
      <c r="HM24" s="166"/>
      <c r="HN24" s="166"/>
      <c r="HO24" s="166"/>
      <c r="HP24" s="166"/>
      <c r="HQ24" s="166"/>
      <c r="HR24" s="166"/>
      <c r="HS24" s="166"/>
      <c r="HT24" s="166"/>
      <c r="HU24" s="166"/>
      <c r="HV24" s="166"/>
      <c r="HW24" s="166"/>
      <c r="HX24" s="166"/>
      <c r="HY24" s="166"/>
      <c r="HZ24" s="166"/>
      <c r="IA24" s="166"/>
      <c r="IB24" s="166"/>
      <c r="IC24" s="166"/>
      <c r="ID24" s="166"/>
      <c r="IE24" s="166"/>
      <c r="IF24" s="166"/>
      <c r="IG24" s="166"/>
      <c r="IH24" s="166"/>
      <c r="II24" s="166"/>
      <c r="IJ24" s="166"/>
      <c r="IK24" s="166"/>
      <c r="IL24" s="166"/>
      <c r="IM24" s="166"/>
    </row>
    <row r="25" spans="1:247" customFormat="1" ht="14.25">
      <c r="A25" s="205" t="s">
        <v>137</v>
      </c>
      <c r="B25" s="220">
        <v>1</v>
      </c>
      <c r="C25" s="206">
        <v>4.34</v>
      </c>
      <c r="D25" s="221">
        <f>TARIFFE2020!F128</f>
        <v>2.5822844954474324</v>
      </c>
      <c r="E25" s="209">
        <f>$D$9*F25</f>
        <v>2.5829999999999997</v>
      </c>
      <c r="F25" s="210">
        <f t="shared" ref="F25:F30" si="0">CEILING((D25/$D$9)/B25,0.01)</f>
        <v>3.69</v>
      </c>
      <c r="G25" s="211"/>
      <c r="H25" s="211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6"/>
      <c r="HM25" s="166"/>
      <c r="HN25" s="166"/>
      <c r="HO25" s="166"/>
      <c r="HP25" s="166"/>
      <c r="HQ25" s="166"/>
      <c r="HR25" s="166"/>
      <c r="HS25" s="166"/>
      <c r="HT25" s="166"/>
      <c r="HU25" s="166"/>
      <c r="HV25" s="166"/>
      <c r="HW25" s="166"/>
      <c r="HX25" s="166"/>
      <c r="HY25" s="166"/>
      <c r="HZ25" s="166"/>
      <c r="IA25" s="166"/>
      <c r="IB25" s="166"/>
      <c r="IC25" s="166"/>
      <c r="ID25" s="166"/>
      <c r="IE25" s="166"/>
      <c r="IF25" s="166"/>
      <c r="IG25" s="166"/>
      <c r="IH25" s="166"/>
      <c r="II25" s="166"/>
      <c r="IJ25" s="166"/>
      <c r="IK25" s="166"/>
      <c r="IL25" s="166"/>
      <c r="IM25" s="166"/>
    </row>
    <row r="26" spans="1:247" customFormat="1" ht="14.25">
      <c r="A26" s="205" t="s">
        <v>138</v>
      </c>
      <c r="B26" s="220">
        <v>1</v>
      </c>
      <c r="C26" s="206">
        <v>13.01</v>
      </c>
      <c r="D26" s="221">
        <f>TARIFFE2020!F132</f>
        <v>7.7468534863422978</v>
      </c>
      <c r="E26" s="209">
        <f>$D$9*F26</f>
        <v>7.7489999999999997</v>
      </c>
      <c r="F26" s="210">
        <f t="shared" si="0"/>
        <v>11.07</v>
      </c>
      <c r="G26" s="211"/>
      <c r="H26" s="211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6"/>
      <c r="HM26" s="166"/>
      <c r="HN26" s="166"/>
      <c r="HO26" s="166"/>
      <c r="HP26" s="166"/>
      <c r="HQ26" s="166"/>
      <c r="HR26" s="166"/>
      <c r="HS26" s="166"/>
      <c r="HT26" s="166"/>
      <c r="HU26" s="166"/>
      <c r="HV26" s="166"/>
      <c r="HW26" s="166"/>
      <c r="HX26" s="166"/>
      <c r="HY26" s="166"/>
      <c r="HZ26" s="166"/>
      <c r="IA26" s="166"/>
      <c r="IB26" s="166"/>
      <c r="IC26" s="166"/>
      <c r="ID26" s="166"/>
      <c r="IE26" s="166"/>
      <c r="IF26" s="166"/>
      <c r="IG26" s="166"/>
      <c r="IH26" s="166"/>
      <c r="II26" s="166"/>
      <c r="IJ26" s="166"/>
      <c r="IK26" s="166"/>
      <c r="IL26" s="166"/>
      <c r="IM26" s="166"/>
    </row>
    <row r="27" spans="1:247" s="165" customFormat="1" ht="14.25">
      <c r="A27" s="222" t="s">
        <v>139</v>
      </c>
      <c r="B27" s="220">
        <v>15</v>
      </c>
      <c r="C27" s="207"/>
      <c r="D27" s="221">
        <f>TARIFFE2020!C112</f>
        <v>13.427879376326649</v>
      </c>
      <c r="E27" s="209">
        <f>$D$9*F27*B27</f>
        <v>13.439999999999998</v>
      </c>
      <c r="F27" s="210">
        <f t="shared" si="0"/>
        <v>1.28</v>
      </c>
      <c r="G27" s="211"/>
      <c r="H27" s="211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  <c r="HQ27" s="166"/>
      <c r="HR27" s="166"/>
      <c r="HS27" s="166"/>
      <c r="HT27" s="166"/>
      <c r="HU27" s="166"/>
      <c r="HV27" s="166"/>
      <c r="HW27" s="166"/>
      <c r="HX27" s="166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  <c r="II27" s="166"/>
      <c r="IJ27" s="166"/>
      <c r="IK27" s="166"/>
      <c r="IL27" s="166"/>
      <c r="IM27" s="166"/>
    </row>
    <row r="28" spans="1:247" customFormat="1" ht="14.25">
      <c r="A28" s="205" t="s">
        <v>140</v>
      </c>
      <c r="B28" s="220">
        <v>15</v>
      </c>
      <c r="C28" s="207"/>
      <c r="D28" s="221">
        <f>TARIFFE2020!C113</f>
        <v>17.456243189224644</v>
      </c>
      <c r="E28" s="209">
        <f>$D$9*F28*B28</f>
        <v>17.534999999999997</v>
      </c>
      <c r="F28" s="210">
        <f t="shared" si="0"/>
        <v>1.67</v>
      </c>
      <c r="G28" s="211"/>
      <c r="H28" s="211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  <c r="HQ28" s="166"/>
      <c r="HR28" s="166"/>
      <c r="HS28" s="166"/>
      <c r="HT28" s="166"/>
      <c r="HU28" s="166"/>
      <c r="HV28" s="166"/>
      <c r="HW28" s="166"/>
      <c r="HX28" s="166"/>
      <c r="HY28" s="166"/>
      <c r="HZ28" s="166"/>
      <c r="IA28" s="166"/>
      <c r="IB28" s="166"/>
      <c r="IC28" s="166"/>
      <c r="ID28" s="166"/>
      <c r="IE28" s="166"/>
      <c r="IF28" s="166"/>
      <c r="IG28" s="166"/>
      <c r="IH28" s="166"/>
      <c r="II28" s="166"/>
      <c r="IJ28" s="166"/>
      <c r="IK28" s="166"/>
      <c r="IL28" s="166"/>
      <c r="IM28" s="166"/>
    </row>
    <row r="29" spans="1:247" customFormat="1" ht="14.25">
      <c r="A29" s="205" t="s">
        <v>141</v>
      </c>
      <c r="B29" s="220">
        <v>15</v>
      </c>
      <c r="C29" s="207"/>
      <c r="D29" s="221">
        <f>TARIFFE2020!C114</f>
        <v>26.184364783836966</v>
      </c>
      <c r="E29" s="209">
        <f>$D$9*F29*B29</f>
        <v>26.25</v>
      </c>
      <c r="F29" s="210">
        <f t="shared" si="0"/>
        <v>2.5</v>
      </c>
      <c r="G29" s="211"/>
      <c r="H29" s="211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  <c r="HK29" s="166"/>
      <c r="HL29" s="166"/>
      <c r="HM29" s="166"/>
      <c r="HN29" s="166"/>
      <c r="HO29" s="166"/>
      <c r="HP29" s="166"/>
      <c r="HQ29" s="166"/>
      <c r="HR29" s="166"/>
      <c r="HS29" s="166"/>
      <c r="HT29" s="166"/>
      <c r="HU29" s="166"/>
      <c r="HV29" s="166"/>
      <c r="HW29" s="166"/>
      <c r="HX29" s="166"/>
      <c r="HY29" s="166"/>
      <c r="HZ29" s="166"/>
      <c r="IA29" s="166"/>
      <c r="IB29" s="166"/>
      <c r="IC29" s="166"/>
      <c r="ID29" s="166"/>
      <c r="IE29" s="166"/>
      <c r="IF29" s="166"/>
      <c r="IG29" s="166"/>
      <c r="IH29" s="166"/>
      <c r="II29" s="166"/>
      <c r="IJ29" s="166"/>
      <c r="IK29" s="166"/>
      <c r="IL29" s="166"/>
      <c r="IM29" s="166"/>
    </row>
    <row r="30" spans="1:247" customFormat="1" ht="14.25">
      <c r="A30" s="205" t="s">
        <v>142</v>
      </c>
      <c r="B30" s="220">
        <v>15</v>
      </c>
      <c r="C30" s="207"/>
      <c r="D30" s="221">
        <f>TARIFFE2020!C115</f>
        <v>34.912486378449287</v>
      </c>
      <c r="E30" s="209">
        <f>$D$9*F30*B30</f>
        <v>34.964999999999996</v>
      </c>
      <c r="F30" s="210">
        <f t="shared" si="0"/>
        <v>3.33</v>
      </c>
      <c r="G30" s="211"/>
      <c r="H30" s="211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  <c r="HK30" s="166"/>
      <c r="HL30" s="166"/>
      <c r="HM30" s="166"/>
      <c r="HN30" s="166"/>
      <c r="HO30" s="166"/>
      <c r="HP30" s="166"/>
      <c r="HQ30" s="166"/>
      <c r="HR30" s="166"/>
      <c r="HS30" s="166"/>
      <c r="HT30" s="166"/>
      <c r="HU30" s="166"/>
      <c r="HV30" s="166"/>
      <c r="HW30" s="166"/>
      <c r="HX30" s="166"/>
      <c r="HY30" s="166"/>
      <c r="HZ30" s="166"/>
      <c r="IA30" s="166"/>
      <c r="IB30" s="166"/>
      <c r="IC30" s="166"/>
      <c r="ID30" s="166"/>
      <c r="IE30" s="166"/>
      <c r="IF30" s="166"/>
      <c r="IG30" s="166"/>
      <c r="IH30" s="166"/>
      <c r="II30" s="166"/>
      <c r="IJ30" s="166"/>
      <c r="IK30" s="166"/>
      <c r="IL30" s="166"/>
      <c r="IM30" s="166"/>
    </row>
    <row r="31" spans="1:247" customFormat="1" ht="25.5">
      <c r="A31" s="205" t="s">
        <v>143</v>
      </c>
      <c r="B31" s="205"/>
      <c r="C31" s="206">
        <v>21.07</v>
      </c>
      <c r="D31" s="223">
        <v>16.53</v>
      </c>
      <c r="E31" s="209">
        <f t="shared" ref="E31:E40" si="1">$D$7*F31</f>
        <v>16.8</v>
      </c>
      <c r="F31" s="210">
        <f t="shared" ref="F31:F40" si="2">CEILING(D31/$D$7,0.01)</f>
        <v>0.42</v>
      </c>
      <c r="G31" s="211"/>
      <c r="H31" s="211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  <c r="DQ31" s="166"/>
      <c r="DR31" s="166"/>
      <c r="DS31" s="166"/>
      <c r="DT31" s="166"/>
      <c r="DU31" s="166"/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6"/>
      <c r="FE31" s="166"/>
      <c r="FF31" s="166"/>
      <c r="FG31" s="166"/>
      <c r="FH31" s="166"/>
      <c r="FI31" s="166"/>
      <c r="FJ31" s="166"/>
      <c r="FK31" s="166"/>
      <c r="FL31" s="166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6"/>
      <c r="GD31" s="166"/>
      <c r="GE31" s="166"/>
      <c r="GF31" s="166"/>
      <c r="GG31" s="166"/>
      <c r="GH31" s="166"/>
      <c r="GI31" s="166"/>
      <c r="GJ31" s="166"/>
      <c r="GK31" s="166"/>
      <c r="GL31" s="166"/>
      <c r="GM31" s="166"/>
      <c r="GN31" s="166"/>
      <c r="GO31" s="166"/>
      <c r="GP31" s="166"/>
      <c r="GQ31" s="166"/>
      <c r="GR31" s="166"/>
      <c r="GS31" s="166"/>
      <c r="GT31" s="166"/>
      <c r="GU31" s="166"/>
      <c r="GV31" s="166"/>
      <c r="GW31" s="166"/>
      <c r="GX31" s="166"/>
      <c r="GY31" s="166"/>
      <c r="GZ31" s="166"/>
      <c r="HA31" s="166"/>
      <c r="HB31" s="166"/>
      <c r="HC31" s="166"/>
      <c r="HD31" s="166"/>
      <c r="HE31" s="166"/>
      <c r="HF31" s="166"/>
      <c r="HG31" s="166"/>
      <c r="HH31" s="166"/>
      <c r="HI31" s="166"/>
      <c r="HJ31" s="166"/>
      <c r="HK31" s="166"/>
      <c r="HL31" s="166"/>
      <c r="HM31" s="166"/>
      <c r="HN31" s="166"/>
      <c r="HO31" s="166"/>
      <c r="HP31" s="166"/>
      <c r="HQ31" s="166"/>
      <c r="HR31" s="166"/>
      <c r="HS31" s="166"/>
      <c r="HT31" s="166"/>
      <c r="HU31" s="166"/>
      <c r="HV31" s="166"/>
      <c r="HW31" s="166"/>
      <c r="HX31" s="166"/>
      <c r="HY31" s="166"/>
      <c r="HZ31" s="166"/>
      <c r="IA31" s="166"/>
      <c r="IB31" s="166"/>
      <c r="IC31" s="166"/>
      <c r="ID31" s="166"/>
      <c r="IE31" s="166"/>
      <c r="IF31" s="166"/>
      <c r="IG31" s="166"/>
      <c r="IH31" s="166"/>
      <c r="II31" s="166"/>
      <c r="IJ31" s="166"/>
      <c r="IK31" s="166"/>
      <c r="IL31" s="166"/>
      <c r="IM31" s="166"/>
    </row>
    <row r="32" spans="1:247" s="165" customFormat="1" ht="25.5">
      <c r="A32" s="205" t="s">
        <v>144</v>
      </c>
      <c r="B32" s="205"/>
      <c r="C32" s="206"/>
      <c r="D32" s="223">
        <v>16.53</v>
      </c>
      <c r="E32" s="209">
        <f>$D$7*F32</f>
        <v>16.8</v>
      </c>
      <c r="F32" s="210">
        <f>CEILING(D32/$D$7,0.01)</f>
        <v>0.42</v>
      </c>
      <c r="G32" s="211"/>
      <c r="H32" s="211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6"/>
      <c r="DF32" s="166"/>
      <c r="DG32" s="166"/>
      <c r="DH32" s="166"/>
      <c r="DI32" s="166"/>
      <c r="DJ32" s="166"/>
      <c r="DK32" s="166"/>
      <c r="DL32" s="166"/>
      <c r="DM32" s="166"/>
      <c r="DN32" s="166"/>
      <c r="DO32" s="166"/>
      <c r="DP32" s="166"/>
      <c r="DQ32" s="166"/>
      <c r="DR32" s="166"/>
      <c r="DS32" s="166"/>
      <c r="DT32" s="166"/>
      <c r="DU32" s="166"/>
      <c r="DV32" s="166"/>
      <c r="DW32" s="166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6"/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6"/>
      <c r="FD32" s="166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166"/>
      <c r="GP32" s="166"/>
      <c r="GQ32" s="166"/>
      <c r="GR32" s="166"/>
      <c r="GS32" s="166"/>
      <c r="GT32" s="166"/>
      <c r="GU32" s="166"/>
      <c r="GV32" s="166"/>
      <c r="GW32" s="166"/>
      <c r="GX32" s="166"/>
      <c r="GY32" s="166"/>
      <c r="GZ32" s="166"/>
      <c r="HA32" s="166"/>
      <c r="HB32" s="166"/>
      <c r="HC32" s="166"/>
      <c r="HD32" s="166"/>
      <c r="HE32" s="166"/>
      <c r="HF32" s="166"/>
      <c r="HG32" s="166"/>
      <c r="HH32" s="166"/>
      <c r="HI32" s="166"/>
      <c r="HJ32" s="166"/>
      <c r="HK32" s="166"/>
      <c r="HL32" s="166"/>
      <c r="HM32" s="166"/>
      <c r="HN32" s="166"/>
      <c r="HO32" s="166"/>
      <c r="HP32" s="166"/>
      <c r="HQ32" s="166"/>
      <c r="HR32" s="166"/>
      <c r="HS32" s="166"/>
      <c r="HT32" s="166"/>
      <c r="HU32" s="166"/>
      <c r="HV32" s="166"/>
      <c r="HW32" s="166"/>
      <c r="HX32" s="166"/>
      <c r="HY32" s="166"/>
      <c r="HZ32" s="166"/>
      <c r="IA32" s="166"/>
      <c r="IB32" s="166"/>
      <c r="IC32" s="166"/>
      <c r="ID32" s="166"/>
      <c r="IE32" s="166"/>
      <c r="IF32" s="166"/>
      <c r="IG32" s="166"/>
      <c r="IH32" s="166"/>
      <c r="II32" s="166"/>
      <c r="IJ32" s="166"/>
      <c r="IK32" s="166"/>
      <c r="IL32" s="166"/>
      <c r="IM32" s="166"/>
    </row>
    <row r="33" spans="1:247" s="165" customFormat="1" ht="13.5" customHeight="1">
      <c r="A33" s="205" t="s">
        <v>145</v>
      </c>
      <c r="B33" s="205"/>
      <c r="C33" s="207"/>
      <c r="D33" s="208">
        <f>TARIFFE2020!F94</f>
        <v>41.316551927158919</v>
      </c>
      <c r="E33" s="209">
        <f>$D$7*F33</f>
        <v>41.6</v>
      </c>
      <c r="F33" s="210">
        <f>CEILING(D33/$D$7,0.01)</f>
        <v>1.04</v>
      </c>
      <c r="G33" s="211"/>
      <c r="H33" s="211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  <c r="EV33" s="166"/>
      <c r="EW33" s="166"/>
      <c r="EX33" s="166"/>
      <c r="EY33" s="166"/>
      <c r="EZ33" s="166"/>
      <c r="FA33" s="166"/>
      <c r="FB33" s="166"/>
      <c r="FC33" s="166"/>
      <c r="FD33" s="166"/>
      <c r="FE33" s="166"/>
      <c r="FF33" s="166"/>
      <c r="FG33" s="166"/>
      <c r="FH33" s="166"/>
      <c r="FI33" s="166"/>
      <c r="FJ33" s="166"/>
      <c r="FK33" s="166"/>
      <c r="FL33" s="166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66"/>
      <c r="GD33" s="166"/>
      <c r="GE33" s="166"/>
      <c r="GF33" s="166"/>
      <c r="GG33" s="166"/>
      <c r="GH33" s="166"/>
      <c r="GI33" s="166"/>
      <c r="GJ33" s="166"/>
      <c r="GK33" s="166"/>
      <c r="GL33" s="166"/>
      <c r="GM33" s="166"/>
      <c r="GN33" s="166"/>
      <c r="GO33" s="166"/>
      <c r="GP33" s="166"/>
      <c r="GQ33" s="166"/>
      <c r="GR33" s="166"/>
      <c r="GS33" s="166"/>
      <c r="GT33" s="166"/>
      <c r="GU33" s="166"/>
      <c r="GV33" s="166"/>
      <c r="GW33" s="166"/>
      <c r="GX33" s="166"/>
      <c r="GY33" s="166"/>
      <c r="GZ33" s="166"/>
      <c r="HA33" s="166"/>
      <c r="HB33" s="166"/>
      <c r="HC33" s="166"/>
      <c r="HD33" s="166"/>
      <c r="HE33" s="166"/>
      <c r="HF33" s="166"/>
      <c r="HG33" s="166"/>
      <c r="HH33" s="166"/>
      <c r="HI33" s="166"/>
      <c r="HJ33" s="166"/>
      <c r="HK33" s="166"/>
      <c r="HL33" s="166"/>
      <c r="HM33" s="166"/>
      <c r="HN33" s="166"/>
      <c r="HO33" s="166"/>
      <c r="HP33" s="166"/>
      <c r="HQ33" s="166"/>
      <c r="HR33" s="166"/>
      <c r="HS33" s="166"/>
      <c r="HT33" s="166"/>
      <c r="HU33" s="166"/>
      <c r="HV33" s="166"/>
      <c r="HW33" s="166"/>
      <c r="HX33" s="166"/>
      <c r="HY33" s="166"/>
      <c r="HZ33" s="166"/>
      <c r="IA33" s="166"/>
      <c r="IB33" s="166"/>
      <c r="IC33" s="166"/>
      <c r="ID33" s="166"/>
      <c r="IE33" s="166"/>
      <c r="IF33" s="166"/>
      <c r="IG33" s="166"/>
      <c r="IH33" s="166"/>
      <c r="II33" s="166"/>
      <c r="IJ33" s="166"/>
      <c r="IK33" s="166"/>
      <c r="IL33" s="166"/>
      <c r="IM33" s="166"/>
    </row>
    <row r="34" spans="1:247" customFormat="1" ht="14.25">
      <c r="A34" s="205" t="s">
        <v>146</v>
      </c>
      <c r="B34" s="205"/>
      <c r="C34" s="206"/>
      <c r="D34" s="208">
        <f>TARIFFE2020!F95</f>
        <v>53.711517505306595</v>
      </c>
      <c r="E34" s="209">
        <f t="shared" si="1"/>
        <v>54</v>
      </c>
      <c r="F34" s="210">
        <f t="shared" si="2"/>
        <v>1.35</v>
      </c>
      <c r="G34" s="211"/>
      <c r="H34" s="211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166"/>
      <c r="DU34" s="166"/>
      <c r="DV34" s="166"/>
      <c r="DW34" s="166"/>
      <c r="DX34" s="166"/>
      <c r="DY34" s="166"/>
      <c r="DZ34" s="166"/>
      <c r="EA34" s="166"/>
      <c r="EB34" s="166"/>
      <c r="EC34" s="166"/>
      <c r="ED34" s="166"/>
      <c r="EE34" s="166"/>
      <c r="EF34" s="166"/>
      <c r="EG34" s="166"/>
      <c r="EH34" s="166"/>
      <c r="EI34" s="166"/>
      <c r="EJ34" s="166"/>
      <c r="EK34" s="166"/>
      <c r="EL34" s="166"/>
      <c r="EM34" s="166"/>
      <c r="EN34" s="166"/>
      <c r="EO34" s="166"/>
      <c r="EP34" s="166"/>
      <c r="EQ34" s="166"/>
      <c r="ER34" s="166"/>
      <c r="ES34" s="166"/>
      <c r="ET34" s="166"/>
      <c r="EU34" s="166"/>
      <c r="EV34" s="166"/>
      <c r="EW34" s="166"/>
      <c r="EX34" s="166"/>
      <c r="EY34" s="166"/>
      <c r="EZ34" s="166"/>
      <c r="FA34" s="166"/>
      <c r="FB34" s="166"/>
      <c r="FC34" s="166"/>
      <c r="FD34" s="166"/>
      <c r="FE34" s="166"/>
      <c r="FF34" s="166"/>
      <c r="FG34" s="166"/>
      <c r="FH34" s="166"/>
      <c r="FI34" s="166"/>
      <c r="FJ34" s="166"/>
      <c r="FK34" s="166"/>
      <c r="FL34" s="166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66"/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166"/>
      <c r="GP34" s="166"/>
      <c r="GQ34" s="166"/>
      <c r="GR34" s="166"/>
      <c r="GS34" s="166"/>
      <c r="GT34" s="166"/>
      <c r="GU34" s="166"/>
      <c r="GV34" s="166"/>
      <c r="GW34" s="166"/>
      <c r="GX34" s="166"/>
      <c r="GY34" s="166"/>
      <c r="GZ34" s="166"/>
      <c r="HA34" s="166"/>
      <c r="HB34" s="166"/>
      <c r="HC34" s="166"/>
      <c r="HD34" s="166"/>
      <c r="HE34" s="166"/>
      <c r="HF34" s="166"/>
      <c r="HG34" s="166"/>
      <c r="HH34" s="166"/>
      <c r="HI34" s="166"/>
      <c r="HJ34" s="166"/>
      <c r="HK34" s="166"/>
      <c r="HL34" s="166"/>
      <c r="HM34" s="166"/>
      <c r="HN34" s="166"/>
      <c r="HO34" s="166"/>
      <c r="HP34" s="166"/>
      <c r="HQ34" s="166"/>
      <c r="HR34" s="166"/>
      <c r="HS34" s="166"/>
      <c r="HT34" s="166"/>
      <c r="HU34" s="166"/>
      <c r="HV34" s="166"/>
      <c r="HW34" s="166"/>
      <c r="HX34" s="166"/>
      <c r="HY34" s="166"/>
      <c r="HZ34" s="166"/>
      <c r="IA34" s="166"/>
      <c r="IB34" s="166"/>
      <c r="IC34" s="166"/>
      <c r="ID34" s="166"/>
      <c r="IE34" s="166"/>
      <c r="IF34" s="166"/>
      <c r="IG34" s="166"/>
      <c r="IH34" s="166"/>
      <c r="II34" s="166"/>
      <c r="IJ34" s="166"/>
      <c r="IK34" s="166"/>
      <c r="IL34" s="166"/>
      <c r="IM34" s="166"/>
    </row>
    <row r="35" spans="1:247" customFormat="1" ht="14.25">
      <c r="A35" s="205" t="s">
        <v>147</v>
      </c>
      <c r="B35" s="205"/>
      <c r="C35" s="206"/>
      <c r="D35" s="208">
        <f>TARIFFE2020!F96</f>
        <v>80.56727625795989</v>
      </c>
      <c r="E35" s="209">
        <f t="shared" si="1"/>
        <v>80.8</v>
      </c>
      <c r="F35" s="210">
        <f t="shared" si="2"/>
        <v>2.02</v>
      </c>
      <c r="G35" s="211"/>
      <c r="H35" s="211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  <c r="II35" s="166"/>
      <c r="IJ35" s="166"/>
      <c r="IK35" s="166"/>
      <c r="IL35" s="166"/>
      <c r="IM35" s="166"/>
    </row>
    <row r="36" spans="1:247" customFormat="1" ht="14.25">
      <c r="A36" s="205" t="s">
        <v>148</v>
      </c>
      <c r="B36" s="205"/>
      <c r="C36" s="206"/>
      <c r="D36" s="208">
        <f>TARIFFE2020!F97</f>
        <v>107.42303501061319</v>
      </c>
      <c r="E36" s="209">
        <f t="shared" si="1"/>
        <v>107.6</v>
      </c>
      <c r="F36" s="210">
        <f t="shared" si="2"/>
        <v>2.69</v>
      </c>
      <c r="G36" s="211"/>
      <c r="H36" s="211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66"/>
      <c r="DB36" s="166"/>
      <c r="DC36" s="166"/>
      <c r="DD36" s="166"/>
      <c r="DE36" s="166"/>
      <c r="DF36" s="166"/>
      <c r="DG36" s="166"/>
      <c r="DH36" s="166"/>
      <c r="DI36" s="166"/>
      <c r="DJ36" s="166"/>
      <c r="DK36" s="166"/>
      <c r="DL36" s="166"/>
      <c r="DM36" s="166"/>
      <c r="DN36" s="166"/>
      <c r="DO36" s="166"/>
      <c r="DP36" s="166"/>
      <c r="DQ36" s="166"/>
      <c r="DR36" s="166"/>
      <c r="DS36" s="166"/>
      <c r="DT36" s="166"/>
      <c r="DU36" s="166"/>
      <c r="DV36" s="166"/>
      <c r="DW36" s="166"/>
      <c r="DX36" s="166"/>
      <c r="DY36" s="166"/>
      <c r="DZ36" s="166"/>
      <c r="EA36" s="166"/>
      <c r="EB36" s="166"/>
      <c r="EC36" s="166"/>
      <c r="ED36" s="166"/>
      <c r="EE36" s="166"/>
      <c r="EF36" s="166"/>
      <c r="EG36" s="166"/>
      <c r="EH36" s="166"/>
      <c r="EI36" s="166"/>
      <c r="EJ36" s="166"/>
      <c r="EK36" s="166"/>
      <c r="EL36" s="166"/>
      <c r="EM36" s="166"/>
      <c r="EN36" s="166"/>
      <c r="EO36" s="166"/>
      <c r="EP36" s="166"/>
      <c r="EQ36" s="166"/>
      <c r="ER36" s="166"/>
      <c r="ES36" s="166"/>
      <c r="ET36" s="166"/>
      <c r="EU36" s="166"/>
      <c r="EV36" s="166"/>
      <c r="EW36" s="166"/>
      <c r="EX36" s="166"/>
      <c r="EY36" s="166"/>
      <c r="EZ36" s="166"/>
      <c r="FA36" s="166"/>
      <c r="FB36" s="166"/>
      <c r="FC36" s="166"/>
      <c r="FD36" s="166"/>
      <c r="FE36" s="166"/>
      <c r="FF36" s="166"/>
      <c r="FG36" s="166"/>
      <c r="FH36" s="166"/>
      <c r="FI36" s="166"/>
      <c r="FJ36" s="166"/>
      <c r="FK36" s="166"/>
      <c r="FL36" s="166"/>
      <c r="FM36" s="166"/>
      <c r="FN36" s="166"/>
      <c r="FO36" s="166"/>
      <c r="FP36" s="166"/>
      <c r="FQ36" s="166"/>
      <c r="FR36" s="166"/>
      <c r="FS36" s="166"/>
      <c r="FT36" s="166"/>
      <c r="FU36" s="166"/>
      <c r="FV36" s="166"/>
      <c r="FW36" s="166"/>
      <c r="FX36" s="166"/>
      <c r="FY36" s="166"/>
      <c r="FZ36" s="166"/>
      <c r="GA36" s="166"/>
      <c r="GB36" s="166"/>
      <c r="GC36" s="166"/>
      <c r="GD36" s="166"/>
      <c r="GE36" s="166"/>
      <c r="GF36" s="166"/>
      <c r="GG36" s="166"/>
      <c r="GH36" s="166"/>
      <c r="GI36" s="166"/>
      <c r="GJ36" s="166"/>
      <c r="GK36" s="166"/>
      <c r="GL36" s="166"/>
      <c r="GM36" s="166"/>
      <c r="GN36" s="166"/>
      <c r="GO36" s="166"/>
      <c r="GP36" s="166"/>
      <c r="GQ36" s="166"/>
      <c r="GR36" s="166"/>
      <c r="GS36" s="166"/>
      <c r="GT36" s="166"/>
      <c r="GU36" s="166"/>
      <c r="GV36" s="166"/>
      <c r="GW36" s="166"/>
      <c r="GX36" s="166"/>
      <c r="GY36" s="166"/>
      <c r="GZ36" s="166"/>
      <c r="HA36" s="166"/>
      <c r="HB36" s="166"/>
      <c r="HC36" s="166"/>
      <c r="HD36" s="166"/>
      <c r="HE36" s="166"/>
      <c r="HF36" s="166"/>
      <c r="HG36" s="166"/>
      <c r="HH36" s="166"/>
      <c r="HI36" s="166"/>
      <c r="HJ36" s="166"/>
      <c r="HK36" s="166"/>
      <c r="HL36" s="166"/>
      <c r="HM36" s="166"/>
      <c r="HN36" s="166"/>
      <c r="HO36" s="166"/>
      <c r="HP36" s="166"/>
      <c r="HQ36" s="166"/>
      <c r="HR36" s="166"/>
      <c r="HS36" s="166"/>
      <c r="HT36" s="166"/>
      <c r="HU36" s="166"/>
      <c r="HV36" s="166"/>
      <c r="HW36" s="166"/>
      <c r="HX36" s="166"/>
      <c r="HY36" s="166"/>
      <c r="HZ36" s="166"/>
      <c r="IA36" s="166"/>
      <c r="IB36" s="166"/>
      <c r="IC36" s="166"/>
      <c r="ID36" s="166"/>
      <c r="IE36" s="166"/>
      <c r="IF36" s="166"/>
      <c r="IG36" s="166"/>
      <c r="IH36" s="166"/>
      <c r="II36" s="166"/>
      <c r="IJ36" s="166"/>
      <c r="IK36" s="166"/>
      <c r="IL36" s="166"/>
      <c r="IM36" s="166"/>
    </row>
    <row r="37" spans="1:247" s="165" customFormat="1" ht="14.25">
      <c r="A37" s="205" t="s">
        <v>149</v>
      </c>
      <c r="B37" s="205"/>
      <c r="C37" s="206"/>
      <c r="D37" s="208">
        <f>D33/2</f>
        <v>20.658275963579459</v>
      </c>
      <c r="E37" s="209">
        <f>$D$7*F37</f>
        <v>20.8</v>
      </c>
      <c r="F37" s="210">
        <f>CEILING(D37/$D$7,0.01)</f>
        <v>0.52</v>
      </c>
      <c r="G37" s="211"/>
      <c r="H37" s="211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  <c r="DB37" s="166"/>
      <c r="DC37" s="166"/>
      <c r="DD37" s="166"/>
      <c r="DE37" s="166"/>
      <c r="DF37" s="166"/>
      <c r="DG37" s="166"/>
      <c r="DH37" s="166"/>
      <c r="DI37" s="166"/>
      <c r="DJ37" s="166"/>
      <c r="DK37" s="166"/>
      <c r="DL37" s="166"/>
      <c r="DM37" s="166"/>
      <c r="DN37" s="166"/>
      <c r="DO37" s="166"/>
      <c r="DP37" s="166"/>
      <c r="DQ37" s="166"/>
      <c r="DR37" s="166"/>
      <c r="DS37" s="166"/>
      <c r="DT37" s="166"/>
      <c r="DU37" s="166"/>
      <c r="DV37" s="166"/>
      <c r="DW37" s="166"/>
      <c r="DX37" s="166"/>
      <c r="DY37" s="166"/>
      <c r="DZ37" s="166"/>
      <c r="EA37" s="166"/>
      <c r="EB37" s="166"/>
      <c r="EC37" s="166"/>
      <c r="ED37" s="166"/>
      <c r="EE37" s="166"/>
      <c r="EF37" s="166"/>
      <c r="EG37" s="166"/>
      <c r="EH37" s="166"/>
      <c r="EI37" s="166"/>
      <c r="EJ37" s="166"/>
      <c r="EK37" s="166"/>
      <c r="EL37" s="166"/>
      <c r="EM37" s="166"/>
      <c r="EN37" s="166"/>
      <c r="EO37" s="166"/>
      <c r="EP37" s="166"/>
      <c r="EQ37" s="166"/>
      <c r="ER37" s="166"/>
      <c r="ES37" s="166"/>
      <c r="ET37" s="166"/>
      <c r="EU37" s="166"/>
      <c r="EV37" s="166"/>
      <c r="EW37" s="166"/>
      <c r="EX37" s="166"/>
      <c r="EY37" s="166"/>
      <c r="EZ37" s="166"/>
      <c r="FA37" s="166"/>
      <c r="FB37" s="166"/>
      <c r="FC37" s="166"/>
      <c r="FD37" s="166"/>
      <c r="FE37" s="166"/>
      <c r="FF37" s="166"/>
      <c r="FG37" s="166"/>
      <c r="FH37" s="166"/>
      <c r="FI37" s="166"/>
      <c r="FJ37" s="166"/>
      <c r="FK37" s="166"/>
      <c r="FL37" s="166"/>
      <c r="FM37" s="166"/>
      <c r="FN37" s="166"/>
      <c r="FO37" s="166"/>
      <c r="FP37" s="166"/>
      <c r="FQ37" s="166"/>
      <c r="FR37" s="166"/>
      <c r="FS37" s="166"/>
      <c r="FT37" s="166"/>
      <c r="FU37" s="166"/>
      <c r="FV37" s="166"/>
      <c r="FW37" s="166"/>
      <c r="FX37" s="166"/>
      <c r="FY37" s="166"/>
      <c r="FZ37" s="166"/>
      <c r="GA37" s="166"/>
      <c r="GB37" s="166"/>
      <c r="GC37" s="166"/>
      <c r="GD37" s="166"/>
      <c r="GE37" s="166"/>
      <c r="GF37" s="166"/>
      <c r="GG37" s="166"/>
      <c r="GH37" s="166"/>
      <c r="GI37" s="166"/>
      <c r="GJ37" s="166"/>
      <c r="GK37" s="166"/>
      <c r="GL37" s="166"/>
      <c r="GM37" s="166"/>
      <c r="GN37" s="166"/>
      <c r="GO37" s="166"/>
      <c r="GP37" s="166"/>
      <c r="GQ37" s="166"/>
      <c r="GR37" s="166"/>
      <c r="GS37" s="166"/>
      <c r="GT37" s="166"/>
      <c r="GU37" s="166"/>
      <c r="GV37" s="166"/>
      <c r="GW37" s="166"/>
      <c r="GX37" s="166"/>
      <c r="GY37" s="166"/>
      <c r="GZ37" s="166"/>
      <c r="HA37" s="166"/>
      <c r="HB37" s="166"/>
      <c r="HC37" s="166"/>
      <c r="HD37" s="166"/>
      <c r="HE37" s="166"/>
      <c r="HF37" s="166"/>
      <c r="HG37" s="166"/>
      <c r="HH37" s="166"/>
      <c r="HI37" s="166"/>
      <c r="HJ37" s="166"/>
      <c r="HK37" s="166"/>
      <c r="HL37" s="166"/>
      <c r="HM37" s="166"/>
      <c r="HN37" s="166"/>
      <c r="HO37" s="166"/>
      <c r="HP37" s="166"/>
      <c r="HQ37" s="166"/>
      <c r="HR37" s="166"/>
      <c r="HS37" s="166"/>
      <c r="HT37" s="166"/>
      <c r="HU37" s="166"/>
      <c r="HV37" s="166"/>
      <c r="HW37" s="166"/>
      <c r="HX37" s="166"/>
      <c r="HY37" s="166"/>
      <c r="HZ37" s="166"/>
      <c r="IA37" s="166"/>
      <c r="IB37" s="166"/>
      <c r="IC37" s="166"/>
      <c r="ID37" s="166"/>
      <c r="IE37" s="166"/>
      <c r="IF37" s="166"/>
      <c r="IG37" s="166"/>
      <c r="IH37" s="166"/>
      <c r="II37" s="166"/>
      <c r="IJ37" s="166"/>
      <c r="IK37" s="166"/>
      <c r="IL37" s="166"/>
      <c r="IM37" s="166"/>
    </row>
    <row r="38" spans="1:247" customFormat="1" ht="14.25">
      <c r="A38" s="205" t="s">
        <v>150</v>
      </c>
      <c r="B38" s="205"/>
      <c r="C38" s="206"/>
      <c r="D38" s="208">
        <f>D34/2</f>
        <v>26.855758752653298</v>
      </c>
      <c r="E38" s="209">
        <f t="shared" si="1"/>
        <v>27.200000000000003</v>
      </c>
      <c r="F38" s="210">
        <f t="shared" si="2"/>
        <v>0.68</v>
      </c>
      <c r="G38" s="211"/>
      <c r="H38" s="211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6"/>
      <c r="DS38" s="166"/>
      <c r="DT38" s="166"/>
      <c r="DU38" s="166"/>
      <c r="DV38" s="166"/>
      <c r="DW38" s="166"/>
      <c r="DX38" s="166"/>
      <c r="DY38" s="166"/>
      <c r="DZ38" s="166"/>
      <c r="EA38" s="166"/>
      <c r="EB38" s="166"/>
      <c r="EC38" s="166"/>
      <c r="ED38" s="166"/>
      <c r="EE38" s="166"/>
      <c r="EF38" s="166"/>
      <c r="EG38" s="166"/>
      <c r="EH38" s="166"/>
      <c r="EI38" s="166"/>
      <c r="EJ38" s="166"/>
      <c r="EK38" s="166"/>
      <c r="EL38" s="166"/>
      <c r="EM38" s="166"/>
      <c r="EN38" s="166"/>
      <c r="EO38" s="166"/>
      <c r="EP38" s="166"/>
      <c r="EQ38" s="166"/>
      <c r="ER38" s="166"/>
      <c r="ES38" s="166"/>
      <c r="ET38" s="166"/>
      <c r="EU38" s="166"/>
      <c r="EV38" s="166"/>
      <c r="EW38" s="166"/>
      <c r="EX38" s="166"/>
      <c r="EY38" s="166"/>
      <c r="EZ38" s="166"/>
      <c r="FA38" s="166"/>
      <c r="FB38" s="166"/>
      <c r="FC38" s="166"/>
      <c r="FD38" s="166"/>
      <c r="FE38" s="166"/>
      <c r="FF38" s="166"/>
      <c r="FG38" s="166"/>
      <c r="FH38" s="166"/>
      <c r="FI38" s="166"/>
      <c r="FJ38" s="166"/>
      <c r="FK38" s="166"/>
      <c r="FL38" s="166"/>
      <c r="FM38" s="166"/>
      <c r="FN38" s="166"/>
      <c r="FO38" s="166"/>
      <c r="FP38" s="166"/>
      <c r="FQ38" s="166"/>
      <c r="FR38" s="166"/>
      <c r="FS38" s="166"/>
      <c r="FT38" s="166"/>
      <c r="FU38" s="166"/>
      <c r="FV38" s="166"/>
      <c r="FW38" s="166"/>
      <c r="FX38" s="166"/>
      <c r="FY38" s="166"/>
      <c r="FZ38" s="166"/>
      <c r="GA38" s="166"/>
      <c r="GB38" s="166"/>
      <c r="GC38" s="166"/>
      <c r="GD38" s="166"/>
      <c r="GE38" s="166"/>
      <c r="GF38" s="166"/>
      <c r="GG38" s="166"/>
      <c r="GH38" s="166"/>
      <c r="GI38" s="166"/>
      <c r="GJ38" s="166"/>
      <c r="GK38" s="166"/>
      <c r="GL38" s="166"/>
      <c r="GM38" s="166"/>
      <c r="GN38" s="166"/>
      <c r="GO38" s="166"/>
      <c r="GP38" s="166"/>
      <c r="GQ38" s="166"/>
      <c r="GR38" s="166"/>
      <c r="GS38" s="166"/>
      <c r="GT38" s="166"/>
      <c r="GU38" s="166"/>
      <c r="GV38" s="166"/>
      <c r="GW38" s="166"/>
      <c r="GX38" s="166"/>
      <c r="GY38" s="166"/>
      <c r="GZ38" s="166"/>
      <c r="HA38" s="166"/>
      <c r="HB38" s="166"/>
      <c r="HC38" s="166"/>
      <c r="HD38" s="166"/>
      <c r="HE38" s="166"/>
      <c r="HF38" s="166"/>
      <c r="HG38" s="166"/>
      <c r="HH38" s="166"/>
      <c r="HI38" s="166"/>
      <c r="HJ38" s="166"/>
      <c r="HK38" s="166"/>
      <c r="HL38" s="166"/>
      <c r="HM38" s="166"/>
      <c r="HN38" s="166"/>
      <c r="HO38" s="166"/>
      <c r="HP38" s="166"/>
      <c r="HQ38" s="166"/>
      <c r="HR38" s="166"/>
      <c r="HS38" s="166"/>
      <c r="HT38" s="166"/>
      <c r="HU38" s="166"/>
      <c r="HV38" s="166"/>
      <c r="HW38" s="166"/>
      <c r="HX38" s="166"/>
      <c r="HY38" s="166"/>
      <c r="HZ38" s="166"/>
      <c r="IA38" s="166"/>
      <c r="IB38" s="166"/>
      <c r="IC38" s="166"/>
      <c r="ID38" s="166"/>
      <c r="IE38" s="166"/>
      <c r="IF38" s="166"/>
      <c r="IG38" s="166"/>
      <c r="IH38" s="166"/>
      <c r="II38" s="166"/>
      <c r="IJ38" s="166"/>
      <c r="IK38" s="166"/>
      <c r="IL38" s="166"/>
      <c r="IM38" s="166"/>
    </row>
    <row r="39" spans="1:247" customFormat="1" ht="14.25">
      <c r="A39" s="205" t="s">
        <v>151</v>
      </c>
      <c r="B39" s="205"/>
      <c r="C39" s="206"/>
      <c r="D39" s="208">
        <f>D35/2</f>
        <v>40.283638128979945</v>
      </c>
      <c r="E39" s="209">
        <f t="shared" si="1"/>
        <v>40.4</v>
      </c>
      <c r="F39" s="210">
        <f t="shared" si="2"/>
        <v>1.01</v>
      </c>
      <c r="G39" s="211"/>
      <c r="H39" s="211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66"/>
      <c r="DX39" s="166"/>
      <c r="DY39" s="166"/>
      <c r="DZ39" s="166"/>
      <c r="EA39" s="166"/>
      <c r="EB39" s="166"/>
      <c r="EC39" s="166"/>
      <c r="ED39" s="166"/>
      <c r="EE39" s="166"/>
      <c r="EF39" s="166"/>
      <c r="EG39" s="166"/>
      <c r="EH39" s="166"/>
      <c r="EI39" s="166"/>
      <c r="EJ39" s="166"/>
      <c r="EK39" s="166"/>
      <c r="EL39" s="166"/>
      <c r="EM39" s="166"/>
      <c r="EN39" s="166"/>
      <c r="EO39" s="166"/>
      <c r="EP39" s="166"/>
      <c r="EQ39" s="166"/>
      <c r="ER39" s="166"/>
      <c r="ES39" s="166"/>
      <c r="ET39" s="166"/>
      <c r="EU39" s="166"/>
      <c r="EV39" s="166"/>
      <c r="EW39" s="166"/>
      <c r="EX39" s="166"/>
      <c r="EY39" s="166"/>
      <c r="EZ39" s="166"/>
      <c r="FA39" s="166"/>
      <c r="FB39" s="166"/>
      <c r="FC39" s="166"/>
      <c r="FD39" s="166"/>
      <c r="FE39" s="166"/>
      <c r="FF39" s="166"/>
      <c r="FG39" s="166"/>
      <c r="FH39" s="166"/>
      <c r="FI39" s="166"/>
      <c r="FJ39" s="166"/>
      <c r="FK39" s="166"/>
      <c r="FL39" s="166"/>
      <c r="FM39" s="166"/>
      <c r="FN39" s="166"/>
      <c r="FO39" s="166"/>
      <c r="FP39" s="166"/>
      <c r="FQ39" s="166"/>
      <c r="FR39" s="166"/>
      <c r="FS39" s="166"/>
      <c r="FT39" s="166"/>
      <c r="FU39" s="166"/>
      <c r="FV39" s="166"/>
      <c r="FW39" s="166"/>
      <c r="FX39" s="166"/>
      <c r="FY39" s="166"/>
      <c r="FZ39" s="166"/>
      <c r="GA39" s="166"/>
      <c r="GB39" s="166"/>
      <c r="GC39" s="166"/>
      <c r="GD39" s="166"/>
      <c r="GE39" s="166"/>
      <c r="GF39" s="166"/>
      <c r="GG39" s="166"/>
      <c r="GH39" s="166"/>
      <c r="GI39" s="166"/>
      <c r="GJ39" s="166"/>
      <c r="GK39" s="166"/>
      <c r="GL39" s="166"/>
      <c r="GM39" s="166"/>
      <c r="GN39" s="166"/>
      <c r="GO39" s="166"/>
      <c r="GP39" s="166"/>
      <c r="GQ39" s="166"/>
      <c r="GR39" s="166"/>
      <c r="GS39" s="166"/>
      <c r="GT39" s="166"/>
      <c r="GU39" s="166"/>
      <c r="GV39" s="166"/>
      <c r="GW39" s="166"/>
      <c r="GX39" s="166"/>
      <c r="GY39" s="166"/>
      <c r="GZ39" s="166"/>
      <c r="HA39" s="166"/>
      <c r="HB39" s="166"/>
      <c r="HC39" s="166"/>
      <c r="HD39" s="166"/>
      <c r="HE39" s="166"/>
      <c r="HF39" s="166"/>
      <c r="HG39" s="166"/>
      <c r="HH39" s="166"/>
      <c r="HI39" s="166"/>
      <c r="HJ39" s="166"/>
      <c r="HK39" s="166"/>
      <c r="HL39" s="166"/>
      <c r="HM39" s="166"/>
      <c r="HN39" s="166"/>
      <c r="HO39" s="166"/>
      <c r="HP39" s="166"/>
      <c r="HQ39" s="166"/>
      <c r="HR39" s="166"/>
      <c r="HS39" s="166"/>
      <c r="HT39" s="166"/>
      <c r="HU39" s="166"/>
      <c r="HV39" s="166"/>
      <c r="HW39" s="166"/>
      <c r="HX39" s="166"/>
      <c r="HY39" s="166"/>
      <c r="HZ39" s="166"/>
      <c r="IA39" s="166"/>
      <c r="IB39" s="166"/>
      <c r="IC39" s="166"/>
      <c r="ID39" s="166"/>
      <c r="IE39" s="166"/>
      <c r="IF39" s="166"/>
      <c r="IG39" s="166"/>
      <c r="IH39" s="166"/>
      <c r="II39" s="166"/>
      <c r="IJ39" s="166"/>
      <c r="IK39" s="166"/>
      <c r="IL39" s="166"/>
      <c r="IM39" s="166"/>
    </row>
    <row r="40" spans="1:247" customFormat="1" ht="14.25">
      <c r="A40" s="205" t="s">
        <v>152</v>
      </c>
      <c r="B40" s="205"/>
      <c r="C40" s="206"/>
      <c r="D40" s="208">
        <f>D36/2</f>
        <v>53.711517505306595</v>
      </c>
      <c r="E40" s="209">
        <f t="shared" si="1"/>
        <v>54</v>
      </c>
      <c r="F40" s="210">
        <f t="shared" si="2"/>
        <v>1.35</v>
      </c>
      <c r="G40" s="211"/>
      <c r="H40" s="211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  <c r="HK40" s="166"/>
      <c r="HL40" s="166"/>
      <c r="HM40" s="166"/>
      <c r="HN40" s="166"/>
      <c r="HO40" s="166"/>
      <c r="HP40" s="166"/>
      <c r="HQ40" s="166"/>
      <c r="HR40" s="166"/>
      <c r="HS40" s="166"/>
      <c r="HT40" s="166"/>
      <c r="HU40" s="166"/>
      <c r="HV40" s="166"/>
      <c r="HW40" s="166"/>
      <c r="HX40" s="166"/>
      <c r="HY40" s="166"/>
      <c r="HZ40" s="166"/>
      <c r="IA40" s="166"/>
      <c r="IB40" s="166"/>
      <c r="IC40" s="166"/>
      <c r="ID40" s="166"/>
      <c r="IE40" s="166"/>
      <c r="IF40" s="166"/>
      <c r="IG40" s="166"/>
      <c r="IH40" s="166"/>
      <c r="II40" s="166"/>
      <c r="IJ40" s="166"/>
      <c r="IK40" s="166"/>
      <c r="IL40" s="166"/>
      <c r="IM40" s="166"/>
    </row>
    <row r="41" spans="1:247" customFormat="1" ht="14.25">
      <c r="A41" s="205" t="s">
        <v>153</v>
      </c>
      <c r="B41" s="220">
        <v>1</v>
      </c>
      <c r="C41" s="206">
        <v>4.34</v>
      </c>
      <c r="D41" s="208">
        <f>TARIFFE2020!F106</f>
        <v>2.5822844954474324</v>
      </c>
      <c r="E41" s="209">
        <f>F41*$D$9</f>
        <v>2.5829999999999997</v>
      </c>
      <c r="F41" s="210">
        <f>CEILING((D41/$D$9)/B41,0.01)</f>
        <v>3.69</v>
      </c>
      <c r="G41" s="211"/>
      <c r="H41" s="211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6"/>
      <c r="DN41" s="166"/>
      <c r="DO41" s="166"/>
      <c r="DP41" s="166"/>
      <c r="DQ41" s="166"/>
      <c r="DR41" s="166"/>
      <c r="DS41" s="166"/>
      <c r="DT41" s="166"/>
      <c r="DU41" s="166"/>
      <c r="DV41" s="166"/>
      <c r="DW41" s="166"/>
      <c r="DX41" s="166"/>
      <c r="DY41" s="166"/>
      <c r="DZ41" s="166"/>
      <c r="EA41" s="166"/>
      <c r="EB41" s="166"/>
      <c r="EC41" s="166"/>
      <c r="ED41" s="166"/>
      <c r="EE41" s="166"/>
      <c r="EF41" s="166"/>
      <c r="EG41" s="166"/>
      <c r="EH41" s="166"/>
      <c r="EI41" s="166"/>
      <c r="EJ41" s="166"/>
      <c r="EK41" s="166"/>
      <c r="EL41" s="166"/>
      <c r="EM41" s="166"/>
      <c r="EN41" s="166"/>
      <c r="EO41" s="166"/>
      <c r="EP41" s="166"/>
      <c r="EQ41" s="166"/>
      <c r="ER41" s="166"/>
      <c r="ES41" s="166"/>
      <c r="ET41" s="166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6"/>
      <c r="GF41" s="166"/>
      <c r="GG41" s="166"/>
      <c r="GH41" s="166"/>
      <c r="GI41" s="166"/>
      <c r="GJ41" s="166"/>
      <c r="GK41" s="166"/>
      <c r="GL41" s="166"/>
      <c r="GM41" s="166"/>
      <c r="GN41" s="166"/>
      <c r="GO41" s="166"/>
      <c r="GP41" s="166"/>
      <c r="GQ41" s="166"/>
      <c r="GR41" s="166"/>
      <c r="GS41" s="166"/>
      <c r="GT41" s="166"/>
      <c r="GU41" s="166"/>
      <c r="GV41" s="166"/>
      <c r="GW41" s="166"/>
      <c r="GX41" s="166"/>
      <c r="GY41" s="166"/>
      <c r="GZ41" s="166"/>
      <c r="HA41" s="166"/>
      <c r="HB41" s="166"/>
      <c r="HC41" s="166"/>
      <c r="HD41" s="166"/>
      <c r="HE41" s="166"/>
      <c r="HF41" s="166"/>
      <c r="HG41" s="166"/>
      <c r="HH41" s="166"/>
      <c r="HI41" s="166"/>
      <c r="HJ41" s="166"/>
      <c r="HK41" s="166"/>
      <c r="HL41" s="166"/>
      <c r="HM41" s="166"/>
      <c r="HN41" s="166"/>
      <c r="HO41" s="166"/>
      <c r="HP41" s="166"/>
      <c r="HQ41" s="166"/>
      <c r="HR41" s="166"/>
      <c r="HS41" s="166"/>
      <c r="HT41" s="166"/>
      <c r="HU41" s="166"/>
      <c r="HV41" s="166"/>
      <c r="HW41" s="166"/>
      <c r="HX41" s="166"/>
      <c r="HY41" s="166"/>
      <c r="HZ41" s="166"/>
      <c r="IA41" s="166"/>
      <c r="IB41" s="166"/>
      <c r="IC41" s="166"/>
      <c r="ID41" s="166"/>
      <c r="IE41" s="166"/>
      <c r="IF41" s="166"/>
      <c r="IG41" s="166"/>
      <c r="IH41" s="166"/>
      <c r="II41" s="166"/>
      <c r="IJ41" s="166"/>
      <c r="IK41" s="166"/>
      <c r="IL41" s="166"/>
      <c r="IM41" s="166"/>
    </row>
    <row r="42" spans="1:247" customFormat="1" ht="14.25">
      <c r="A42" s="205" t="s">
        <v>154</v>
      </c>
      <c r="B42" s="220">
        <v>1</v>
      </c>
      <c r="C42" s="206">
        <v>104.12</v>
      </c>
      <c r="D42" s="208">
        <f>TARIFFE2020!F123</f>
        <v>61.974827890738382</v>
      </c>
      <c r="E42" s="209">
        <f>$D$9*F42</f>
        <v>61.978000000000002</v>
      </c>
      <c r="F42" s="210">
        <f>CEILING((D42/$D$9)/B42,0.01)</f>
        <v>88.54</v>
      </c>
      <c r="G42" s="211"/>
      <c r="H42" s="211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  <c r="HK42" s="166"/>
      <c r="HL42" s="166"/>
      <c r="HM42" s="166"/>
      <c r="HN42" s="166"/>
      <c r="HO42" s="166"/>
      <c r="HP42" s="166"/>
      <c r="HQ42" s="166"/>
      <c r="HR42" s="166"/>
      <c r="HS42" s="166"/>
      <c r="HT42" s="166"/>
      <c r="HU42" s="166"/>
      <c r="HV42" s="166"/>
      <c r="HW42" s="166"/>
      <c r="HX42" s="166"/>
      <c r="HY42" s="166"/>
      <c r="HZ42" s="166"/>
      <c r="IA42" s="166"/>
      <c r="IB42" s="166"/>
      <c r="IC42" s="166"/>
      <c r="ID42" s="166"/>
      <c r="IE42" s="166"/>
      <c r="IF42" s="166"/>
      <c r="IG42" s="166"/>
      <c r="IH42" s="166"/>
      <c r="II42" s="166"/>
      <c r="IJ42" s="166"/>
      <c r="IK42" s="166"/>
      <c r="IL42" s="166"/>
      <c r="IM42" s="166"/>
    </row>
    <row r="43" spans="1:247" customFormat="1" ht="14.25">
      <c r="A43" s="205" t="s">
        <v>155</v>
      </c>
      <c r="B43" s="220">
        <v>1</v>
      </c>
      <c r="C43" s="206">
        <v>52.06</v>
      </c>
      <c r="D43" s="208">
        <f>TARIFFE2020!F126</f>
        <v>30.987413945369191</v>
      </c>
      <c r="E43" s="209">
        <f>D9*F43</f>
        <v>30.989000000000001</v>
      </c>
      <c r="F43" s="210">
        <f>CEILING((D43/$D$9)/B43,0.01)</f>
        <v>44.27</v>
      </c>
      <c r="G43" s="211"/>
      <c r="H43" s="211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  <c r="ES43" s="166"/>
      <c r="ET43" s="166"/>
      <c r="EU43" s="166"/>
      <c r="EV43" s="166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6"/>
      <c r="FL43" s="166"/>
      <c r="FM43" s="166"/>
      <c r="FN43" s="166"/>
      <c r="FO43" s="166"/>
      <c r="FP43" s="166"/>
      <c r="FQ43" s="166"/>
      <c r="FR43" s="166"/>
      <c r="FS43" s="166"/>
      <c r="FT43" s="166"/>
      <c r="FU43" s="166"/>
      <c r="FV43" s="166"/>
      <c r="FW43" s="166"/>
      <c r="FX43" s="166"/>
      <c r="FY43" s="166"/>
      <c r="FZ43" s="166"/>
      <c r="GA43" s="166"/>
      <c r="GB43" s="166"/>
      <c r="GC43" s="166"/>
      <c r="GD43" s="166"/>
      <c r="GE43" s="166"/>
      <c r="GF43" s="166"/>
      <c r="GG43" s="166"/>
      <c r="GH43" s="166"/>
      <c r="GI43" s="166"/>
      <c r="GJ43" s="166"/>
      <c r="GK43" s="166"/>
      <c r="GL43" s="166"/>
      <c r="GM43" s="166"/>
      <c r="GN43" s="166"/>
      <c r="GO43" s="166"/>
      <c r="GP43" s="166"/>
      <c r="GQ43" s="166"/>
      <c r="GR43" s="166"/>
      <c r="GS43" s="166"/>
      <c r="GT43" s="166"/>
      <c r="GU43" s="166"/>
      <c r="GV43" s="166"/>
      <c r="GW43" s="166"/>
      <c r="GX43" s="166"/>
      <c r="GY43" s="166"/>
      <c r="GZ43" s="166"/>
      <c r="HA43" s="166"/>
      <c r="HB43" s="166"/>
      <c r="HC43" s="166"/>
      <c r="HD43" s="166"/>
      <c r="HE43" s="166"/>
      <c r="HF43" s="166"/>
      <c r="HG43" s="166"/>
      <c r="HH43" s="166"/>
      <c r="HI43" s="166"/>
      <c r="HJ43" s="166"/>
      <c r="HK43" s="166"/>
      <c r="HL43" s="166"/>
      <c r="HM43" s="166"/>
      <c r="HN43" s="166"/>
      <c r="HO43" s="166"/>
      <c r="HP43" s="166"/>
      <c r="HQ43" s="166"/>
      <c r="HR43" s="166"/>
      <c r="HS43" s="166"/>
      <c r="HT43" s="166"/>
      <c r="HU43" s="166"/>
      <c r="HV43" s="166"/>
      <c r="HW43" s="166"/>
      <c r="HX43" s="166"/>
      <c r="HY43" s="166"/>
      <c r="HZ43" s="166"/>
      <c r="IA43" s="166"/>
      <c r="IB43" s="166"/>
      <c r="IC43" s="166"/>
      <c r="ID43" s="166"/>
      <c r="IE43" s="166"/>
      <c r="IF43" s="166"/>
      <c r="IG43" s="166"/>
      <c r="IH43" s="166"/>
      <c r="II43" s="166"/>
      <c r="IJ43" s="166"/>
      <c r="IK43" s="166"/>
      <c r="IL43" s="166"/>
      <c r="IM43" s="166"/>
    </row>
    <row r="44" spans="1:247" customFormat="1" ht="15" hidden="1">
      <c r="A44" s="297" t="s">
        <v>156</v>
      </c>
      <c r="B44" s="297"/>
      <c r="C44" s="297"/>
      <c r="D44" s="297"/>
      <c r="E44" s="224"/>
      <c r="F44" s="210" t="e">
        <f>CEILING((D44/#REF!)/B44,0.01)</f>
        <v>#REF!</v>
      </c>
      <c r="G44" s="211"/>
      <c r="H44" s="211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/>
      <c r="DZ44" s="166"/>
      <c r="EA44" s="166"/>
      <c r="EB44" s="166"/>
      <c r="EC44" s="166"/>
      <c r="ED44" s="166"/>
      <c r="EE44" s="166"/>
      <c r="EF44" s="166"/>
      <c r="EG44" s="166"/>
      <c r="EH44" s="166"/>
      <c r="EI44" s="166"/>
      <c r="EJ44" s="166"/>
      <c r="EK44" s="166"/>
      <c r="EL44" s="166"/>
      <c r="EM44" s="166"/>
      <c r="EN44" s="166"/>
      <c r="EO44" s="166"/>
      <c r="EP44" s="166"/>
      <c r="EQ44" s="166"/>
      <c r="ER44" s="166"/>
      <c r="ES44" s="166"/>
      <c r="ET44" s="166"/>
      <c r="EU44" s="166"/>
      <c r="EV44" s="166"/>
      <c r="EW44" s="166"/>
      <c r="EX44" s="166"/>
      <c r="EY44" s="166"/>
      <c r="EZ44" s="166"/>
      <c r="FA44" s="166"/>
      <c r="FB44" s="166"/>
      <c r="FC44" s="166"/>
      <c r="FD44" s="166"/>
      <c r="FE44" s="166"/>
      <c r="FF44" s="166"/>
      <c r="FG44" s="166"/>
      <c r="FH44" s="166"/>
      <c r="FI44" s="166"/>
      <c r="FJ44" s="166"/>
      <c r="FK44" s="166"/>
      <c r="FL44" s="166"/>
      <c r="FM44" s="166"/>
      <c r="FN44" s="166"/>
      <c r="FO44" s="166"/>
      <c r="FP44" s="166"/>
      <c r="FQ44" s="166"/>
      <c r="FR44" s="166"/>
      <c r="FS44" s="166"/>
      <c r="FT44" s="166"/>
      <c r="FU44" s="166"/>
      <c r="FV44" s="166"/>
      <c r="FW44" s="166"/>
      <c r="FX44" s="166"/>
      <c r="FY44" s="166"/>
      <c r="FZ44" s="166"/>
      <c r="GA44" s="166"/>
      <c r="GB44" s="166"/>
      <c r="GC44" s="166"/>
      <c r="GD44" s="166"/>
      <c r="GE44" s="166"/>
      <c r="GF44" s="166"/>
      <c r="GG44" s="166"/>
      <c r="GH44" s="166"/>
      <c r="GI44" s="166"/>
      <c r="GJ44" s="166"/>
      <c r="GK44" s="166"/>
      <c r="GL44" s="166"/>
      <c r="GM44" s="166"/>
      <c r="GN44" s="166"/>
      <c r="GO44" s="166"/>
      <c r="GP44" s="166"/>
      <c r="GQ44" s="166"/>
      <c r="GR44" s="166"/>
      <c r="GS44" s="166"/>
      <c r="GT44" s="166"/>
      <c r="GU44" s="166"/>
      <c r="GV44" s="166"/>
      <c r="GW44" s="166"/>
      <c r="GX44" s="166"/>
      <c r="GY44" s="166"/>
      <c r="GZ44" s="166"/>
      <c r="HA44" s="166"/>
      <c r="HB44" s="166"/>
      <c r="HC44" s="166"/>
      <c r="HD44" s="166"/>
      <c r="HE44" s="166"/>
      <c r="HF44" s="166"/>
      <c r="HG44" s="166"/>
      <c r="HH44" s="166"/>
      <c r="HI44" s="166"/>
      <c r="HJ44" s="166"/>
      <c r="HK44" s="166"/>
      <c r="HL44" s="166"/>
      <c r="HM44" s="166"/>
      <c r="HN44" s="166"/>
      <c r="HO44" s="166"/>
      <c r="HP44" s="166"/>
      <c r="HQ44" s="166"/>
      <c r="HR44" s="166"/>
      <c r="HS44" s="166"/>
      <c r="HT44" s="166"/>
      <c r="HU44" s="166"/>
      <c r="HV44" s="166"/>
      <c r="HW44" s="166"/>
      <c r="HX44" s="166"/>
      <c r="HY44" s="166"/>
      <c r="HZ44" s="166"/>
      <c r="IA44" s="166"/>
      <c r="IB44" s="166"/>
      <c r="IC44" s="166"/>
      <c r="ID44" s="166"/>
      <c r="IE44" s="166"/>
      <c r="IF44" s="166"/>
      <c r="IG44" s="166"/>
      <c r="IH44" s="166"/>
      <c r="II44" s="166"/>
      <c r="IJ44" s="166"/>
      <c r="IK44" s="166"/>
      <c r="IL44" s="166"/>
      <c r="IM44" s="166"/>
    </row>
    <row r="45" spans="1:247" customFormat="1" ht="15" hidden="1">
      <c r="A45" s="225" t="s">
        <v>157</v>
      </c>
      <c r="B45" s="225"/>
      <c r="C45" s="226">
        <v>1.61</v>
      </c>
      <c r="D45" s="227">
        <v>1.34</v>
      </c>
      <c r="E45" s="224"/>
      <c r="F45" s="210" t="e">
        <f>CEILING((D45/#REF!)/B45,0.01)</f>
        <v>#REF!</v>
      </c>
      <c r="G45" s="211"/>
      <c r="H45" s="211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  <c r="DQ45" s="166"/>
      <c r="DR45" s="166"/>
      <c r="DS45" s="166"/>
      <c r="DT45" s="166"/>
      <c r="DU45" s="166"/>
      <c r="DV45" s="166"/>
      <c r="DW45" s="166"/>
      <c r="DX45" s="166"/>
      <c r="DY45" s="166"/>
      <c r="DZ45" s="166"/>
      <c r="EA45" s="166"/>
      <c r="EB45" s="166"/>
      <c r="EC45" s="166"/>
      <c r="ED45" s="166"/>
      <c r="EE45" s="166"/>
      <c r="EF45" s="166"/>
      <c r="EG45" s="166"/>
      <c r="EH45" s="166"/>
      <c r="EI45" s="166"/>
      <c r="EJ45" s="166"/>
      <c r="EK45" s="166"/>
      <c r="EL45" s="166"/>
      <c r="EM45" s="166"/>
      <c r="EN45" s="166"/>
      <c r="EO45" s="166"/>
      <c r="EP45" s="166"/>
      <c r="EQ45" s="166"/>
      <c r="ER45" s="166"/>
      <c r="ES45" s="166"/>
      <c r="ET45" s="166"/>
      <c r="EU45" s="166"/>
      <c r="EV45" s="166"/>
      <c r="EW45" s="166"/>
      <c r="EX45" s="166"/>
      <c r="EY45" s="166"/>
      <c r="EZ45" s="166"/>
      <c r="FA45" s="166"/>
      <c r="FB45" s="166"/>
      <c r="FC45" s="166"/>
      <c r="FD45" s="166"/>
      <c r="FE45" s="166"/>
      <c r="FF45" s="166"/>
      <c r="FG45" s="166"/>
      <c r="FH45" s="166"/>
      <c r="FI45" s="166"/>
      <c r="FJ45" s="166"/>
      <c r="FK45" s="166"/>
      <c r="FL45" s="166"/>
      <c r="FM45" s="166"/>
      <c r="FN45" s="166"/>
      <c r="FO45" s="166"/>
      <c r="FP45" s="166"/>
      <c r="FQ45" s="166"/>
      <c r="FR45" s="166"/>
      <c r="FS45" s="166"/>
      <c r="FT45" s="166"/>
      <c r="FU45" s="166"/>
      <c r="FV45" s="166"/>
      <c r="FW45" s="166"/>
      <c r="FX45" s="166"/>
      <c r="FY45" s="166"/>
      <c r="FZ45" s="166"/>
      <c r="GA45" s="166"/>
      <c r="GB45" s="166"/>
      <c r="GC45" s="166"/>
      <c r="GD45" s="166"/>
      <c r="GE45" s="166"/>
      <c r="GF45" s="166"/>
      <c r="GG45" s="166"/>
      <c r="GH45" s="166"/>
      <c r="GI45" s="166"/>
      <c r="GJ45" s="166"/>
      <c r="GK45" s="166"/>
      <c r="GL45" s="166"/>
      <c r="GM45" s="166"/>
      <c r="GN45" s="166"/>
      <c r="GO45" s="166"/>
      <c r="GP45" s="166"/>
      <c r="GQ45" s="166"/>
      <c r="GR45" s="166"/>
      <c r="GS45" s="166"/>
      <c r="GT45" s="166"/>
      <c r="GU45" s="166"/>
      <c r="GV45" s="166"/>
      <c r="GW45" s="166"/>
      <c r="GX45" s="166"/>
      <c r="GY45" s="166"/>
      <c r="GZ45" s="166"/>
      <c r="HA45" s="166"/>
      <c r="HB45" s="166"/>
      <c r="HC45" s="166"/>
      <c r="HD45" s="166"/>
      <c r="HE45" s="166"/>
      <c r="HF45" s="166"/>
      <c r="HG45" s="166"/>
      <c r="HH45" s="166"/>
      <c r="HI45" s="166"/>
      <c r="HJ45" s="166"/>
      <c r="HK45" s="166"/>
      <c r="HL45" s="166"/>
      <c r="HM45" s="166"/>
      <c r="HN45" s="166"/>
      <c r="HO45" s="166"/>
      <c r="HP45" s="166"/>
      <c r="HQ45" s="166"/>
      <c r="HR45" s="166"/>
      <c r="HS45" s="166"/>
      <c r="HT45" s="166"/>
      <c r="HU45" s="166"/>
      <c r="HV45" s="166"/>
      <c r="HW45" s="166"/>
      <c r="HX45" s="166"/>
      <c r="HY45" s="166"/>
      <c r="HZ45" s="166"/>
      <c r="IA45" s="166"/>
      <c r="IB45" s="166"/>
      <c r="IC45" s="166"/>
      <c r="ID45" s="166"/>
      <c r="IE45" s="166"/>
      <c r="IF45" s="166"/>
      <c r="IG45" s="166"/>
      <c r="IH45" s="166"/>
      <c r="II45" s="166"/>
      <c r="IJ45" s="166"/>
      <c r="IK45" s="166"/>
      <c r="IL45" s="166"/>
      <c r="IM45" s="166"/>
    </row>
    <row r="46" spans="1:247" customFormat="1" ht="15" hidden="1">
      <c r="A46" s="225" t="s">
        <v>158</v>
      </c>
      <c r="B46" s="225"/>
      <c r="C46" s="226">
        <v>4.03</v>
      </c>
      <c r="D46" s="227">
        <v>3.36</v>
      </c>
      <c r="E46" s="224"/>
      <c r="F46" s="210" t="e">
        <f>CEILING((D46/#REF!)/B46,0.01)</f>
        <v>#REF!</v>
      </c>
      <c r="G46" s="211"/>
      <c r="H46" s="211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166"/>
      <c r="DU46" s="166"/>
      <c r="DV46" s="166"/>
      <c r="DW46" s="166"/>
      <c r="DX46" s="166"/>
      <c r="DY46" s="166"/>
      <c r="DZ46" s="166"/>
      <c r="EA46" s="166"/>
      <c r="EB46" s="166"/>
      <c r="EC46" s="166"/>
      <c r="ED46" s="166"/>
      <c r="EE46" s="166"/>
      <c r="EF46" s="166"/>
      <c r="EG46" s="166"/>
      <c r="EH46" s="166"/>
      <c r="EI46" s="166"/>
      <c r="EJ46" s="166"/>
      <c r="EK46" s="166"/>
      <c r="EL46" s="166"/>
      <c r="EM46" s="166"/>
      <c r="EN46" s="166"/>
      <c r="EO46" s="166"/>
      <c r="EP46" s="166"/>
      <c r="EQ46" s="166"/>
      <c r="ER46" s="166"/>
      <c r="ES46" s="166"/>
      <c r="ET46" s="166"/>
      <c r="EU46" s="166"/>
      <c r="EV46" s="166"/>
      <c r="EW46" s="166"/>
      <c r="EX46" s="166"/>
      <c r="EY46" s="166"/>
      <c r="EZ46" s="166"/>
      <c r="FA46" s="166"/>
      <c r="FB46" s="166"/>
      <c r="FC46" s="166"/>
      <c r="FD46" s="166"/>
      <c r="FE46" s="166"/>
      <c r="FF46" s="166"/>
      <c r="FG46" s="166"/>
      <c r="FH46" s="166"/>
      <c r="FI46" s="166"/>
      <c r="FJ46" s="166"/>
      <c r="FK46" s="166"/>
      <c r="FL46" s="166"/>
      <c r="FM46" s="166"/>
      <c r="FN46" s="166"/>
      <c r="FO46" s="166"/>
      <c r="FP46" s="166"/>
      <c r="FQ46" s="166"/>
      <c r="FR46" s="166"/>
      <c r="FS46" s="166"/>
      <c r="FT46" s="166"/>
      <c r="FU46" s="166"/>
      <c r="FV46" s="166"/>
      <c r="FW46" s="166"/>
      <c r="FX46" s="166"/>
      <c r="FY46" s="166"/>
      <c r="FZ46" s="166"/>
      <c r="GA46" s="166"/>
      <c r="GB46" s="166"/>
      <c r="GC46" s="166"/>
      <c r="GD46" s="166"/>
      <c r="GE46" s="166"/>
      <c r="GF46" s="166"/>
      <c r="GG46" s="166"/>
      <c r="GH46" s="166"/>
      <c r="GI46" s="166"/>
      <c r="GJ46" s="166"/>
      <c r="GK46" s="166"/>
      <c r="GL46" s="166"/>
      <c r="GM46" s="166"/>
      <c r="GN46" s="166"/>
      <c r="GO46" s="166"/>
      <c r="GP46" s="166"/>
      <c r="GQ46" s="166"/>
      <c r="GR46" s="166"/>
      <c r="GS46" s="166"/>
      <c r="GT46" s="166"/>
      <c r="GU46" s="166"/>
      <c r="GV46" s="166"/>
      <c r="GW46" s="166"/>
      <c r="GX46" s="166"/>
      <c r="GY46" s="166"/>
      <c r="GZ46" s="166"/>
      <c r="HA46" s="166"/>
      <c r="HB46" s="166"/>
      <c r="HC46" s="166"/>
      <c r="HD46" s="166"/>
      <c r="HE46" s="166"/>
      <c r="HF46" s="166"/>
      <c r="HG46" s="166"/>
      <c r="HH46" s="166"/>
      <c r="HI46" s="166"/>
      <c r="HJ46" s="166"/>
      <c r="HK46" s="166"/>
      <c r="HL46" s="166"/>
      <c r="HM46" s="166"/>
      <c r="HN46" s="166"/>
      <c r="HO46" s="166"/>
      <c r="HP46" s="166"/>
      <c r="HQ46" s="166"/>
      <c r="HR46" s="166"/>
      <c r="HS46" s="166"/>
      <c r="HT46" s="166"/>
      <c r="HU46" s="166"/>
      <c r="HV46" s="166"/>
      <c r="HW46" s="166"/>
      <c r="HX46" s="166"/>
      <c r="HY46" s="166"/>
      <c r="HZ46" s="166"/>
      <c r="IA46" s="166"/>
      <c r="IB46" s="166"/>
      <c r="IC46" s="166"/>
      <c r="ID46" s="166"/>
      <c r="IE46" s="166"/>
      <c r="IF46" s="166"/>
      <c r="IG46" s="166"/>
      <c r="IH46" s="166"/>
      <c r="II46" s="166"/>
      <c r="IJ46" s="166"/>
      <c r="IK46" s="166"/>
      <c r="IL46" s="166"/>
      <c r="IM46" s="166"/>
    </row>
    <row r="47" spans="1:247" customFormat="1" ht="15" hidden="1">
      <c r="A47" s="225" t="s">
        <v>159</v>
      </c>
      <c r="B47" s="225"/>
      <c r="C47" s="226">
        <v>0.48</v>
      </c>
      <c r="D47" s="227">
        <v>0.41</v>
      </c>
      <c r="E47" s="224"/>
      <c r="F47" s="210" t="e">
        <f>CEILING((D47/#REF!)/B47,0.01)</f>
        <v>#REF!</v>
      </c>
      <c r="G47" s="211"/>
      <c r="H47" s="211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66"/>
      <c r="EN47" s="166"/>
      <c r="EO47" s="166"/>
      <c r="EP47" s="166"/>
      <c r="EQ47" s="166"/>
      <c r="ER47" s="166"/>
      <c r="ES47" s="166"/>
      <c r="ET47" s="166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166"/>
      <c r="FF47" s="166"/>
      <c r="FG47" s="166"/>
      <c r="FH47" s="166"/>
      <c r="FI47" s="166"/>
      <c r="FJ47" s="166"/>
      <c r="FK47" s="166"/>
      <c r="FL47" s="166"/>
      <c r="FM47" s="166"/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66"/>
      <c r="GC47" s="166"/>
      <c r="GD47" s="166"/>
      <c r="GE47" s="166"/>
      <c r="GF47" s="166"/>
      <c r="GG47" s="166"/>
      <c r="GH47" s="166"/>
      <c r="GI47" s="166"/>
      <c r="GJ47" s="166"/>
      <c r="GK47" s="166"/>
      <c r="GL47" s="166"/>
      <c r="GM47" s="166"/>
      <c r="GN47" s="166"/>
      <c r="GO47" s="166"/>
      <c r="GP47" s="166"/>
      <c r="GQ47" s="166"/>
      <c r="GR47" s="166"/>
      <c r="GS47" s="166"/>
      <c r="GT47" s="166"/>
      <c r="GU47" s="166"/>
      <c r="GV47" s="166"/>
      <c r="GW47" s="166"/>
      <c r="GX47" s="166"/>
      <c r="GY47" s="166"/>
      <c r="GZ47" s="166"/>
      <c r="HA47" s="166"/>
      <c r="HB47" s="166"/>
      <c r="HC47" s="166"/>
      <c r="HD47" s="166"/>
      <c r="HE47" s="166"/>
      <c r="HF47" s="166"/>
      <c r="HG47" s="166"/>
      <c r="HH47" s="166"/>
      <c r="HI47" s="166"/>
      <c r="HJ47" s="166"/>
      <c r="HK47" s="166"/>
      <c r="HL47" s="166"/>
      <c r="HM47" s="166"/>
      <c r="HN47" s="166"/>
      <c r="HO47" s="166"/>
      <c r="HP47" s="166"/>
      <c r="HQ47" s="166"/>
      <c r="HR47" s="166"/>
      <c r="HS47" s="166"/>
      <c r="HT47" s="166"/>
      <c r="HU47" s="166"/>
      <c r="HV47" s="166"/>
      <c r="HW47" s="166"/>
      <c r="HX47" s="166"/>
      <c r="HY47" s="166"/>
      <c r="HZ47" s="166"/>
      <c r="IA47" s="166"/>
      <c r="IB47" s="166"/>
      <c r="IC47" s="166"/>
      <c r="ID47" s="166"/>
      <c r="IE47" s="166"/>
      <c r="IF47" s="166"/>
      <c r="IG47" s="166"/>
      <c r="IH47" s="166"/>
      <c r="II47" s="166"/>
      <c r="IJ47" s="166"/>
      <c r="IK47" s="166"/>
      <c r="IL47" s="166"/>
      <c r="IM47" s="166"/>
    </row>
    <row r="48" spans="1:247" customFormat="1" ht="15" hidden="1">
      <c r="A48" s="225" t="s">
        <v>160</v>
      </c>
      <c r="B48" s="225"/>
      <c r="C48" s="226">
        <v>1.21</v>
      </c>
      <c r="D48" s="228">
        <v>1</v>
      </c>
      <c r="E48" s="224"/>
      <c r="F48" s="210" t="e">
        <f>CEILING((D48/#REF!)/B48,0.01)</f>
        <v>#REF!</v>
      </c>
      <c r="G48" s="211"/>
      <c r="H48" s="211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6"/>
      <c r="EF48" s="166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6"/>
      <c r="ES48" s="166"/>
      <c r="ET48" s="166"/>
      <c r="EU48" s="166"/>
      <c r="EV48" s="166"/>
      <c r="EW48" s="166"/>
      <c r="EX48" s="166"/>
      <c r="EY48" s="166"/>
      <c r="EZ48" s="166"/>
      <c r="FA48" s="166"/>
      <c r="FB48" s="166"/>
      <c r="FC48" s="166"/>
      <c r="FD48" s="166"/>
      <c r="FE48" s="166"/>
      <c r="FF48" s="166"/>
      <c r="FG48" s="166"/>
      <c r="FH48" s="166"/>
      <c r="FI48" s="166"/>
      <c r="FJ48" s="166"/>
      <c r="FK48" s="166"/>
      <c r="FL48" s="166"/>
      <c r="FM48" s="166"/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166"/>
      <c r="GG48" s="166"/>
      <c r="GH48" s="166"/>
      <c r="GI48" s="166"/>
      <c r="GJ48" s="166"/>
      <c r="GK48" s="166"/>
      <c r="GL48" s="166"/>
      <c r="GM48" s="166"/>
      <c r="GN48" s="166"/>
      <c r="GO48" s="166"/>
      <c r="GP48" s="166"/>
      <c r="GQ48" s="166"/>
      <c r="GR48" s="166"/>
      <c r="GS48" s="166"/>
      <c r="GT48" s="166"/>
      <c r="GU48" s="166"/>
      <c r="GV48" s="166"/>
      <c r="GW48" s="166"/>
      <c r="GX48" s="166"/>
      <c r="GY48" s="166"/>
      <c r="GZ48" s="166"/>
      <c r="HA48" s="166"/>
      <c r="HB48" s="166"/>
      <c r="HC48" s="166"/>
      <c r="HD48" s="166"/>
      <c r="HE48" s="166"/>
      <c r="HF48" s="166"/>
      <c r="HG48" s="166"/>
      <c r="HH48" s="166"/>
      <c r="HI48" s="166"/>
      <c r="HJ48" s="166"/>
      <c r="HK48" s="166"/>
      <c r="HL48" s="166"/>
      <c r="HM48" s="166"/>
      <c r="HN48" s="166"/>
      <c r="HO48" s="166"/>
      <c r="HP48" s="166"/>
      <c r="HQ48" s="166"/>
      <c r="HR48" s="166"/>
      <c r="HS48" s="166"/>
      <c r="HT48" s="166"/>
      <c r="HU48" s="166"/>
      <c r="HV48" s="166"/>
      <c r="HW48" s="166"/>
      <c r="HX48" s="166"/>
      <c r="HY48" s="166"/>
      <c r="HZ48" s="166"/>
      <c r="IA48" s="166"/>
      <c r="IB48" s="166"/>
      <c r="IC48" s="166"/>
      <c r="ID48" s="166"/>
      <c r="IE48" s="166"/>
      <c r="IF48" s="166"/>
      <c r="IG48" s="166"/>
      <c r="IH48" s="166"/>
      <c r="II48" s="166"/>
      <c r="IJ48" s="166"/>
      <c r="IK48" s="166"/>
      <c r="IL48" s="166"/>
      <c r="IM48" s="166"/>
    </row>
    <row r="49" spans="1:247" customFormat="1" ht="15" hidden="1">
      <c r="A49" s="225" t="s">
        <v>161</v>
      </c>
      <c r="B49" s="225"/>
      <c r="C49" s="229">
        <v>1.88</v>
      </c>
      <c r="D49" s="227">
        <v>2.0099999999999998</v>
      </c>
      <c r="E49" s="224"/>
      <c r="F49" s="210" t="e">
        <f>CEILING((D49/#REF!)/B49,0.01)</f>
        <v>#REF!</v>
      </c>
      <c r="G49" s="211"/>
      <c r="H49" s="211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6"/>
      <c r="CZ49" s="166"/>
      <c r="DA49" s="166"/>
      <c r="DB49" s="166"/>
      <c r="DC49" s="166"/>
      <c r="DD49" s="166"/>
      <c r="DE49" s="166"/>
      <c r="DF49" s="166"/>
      <c r="DG49" s="166"/>
      <c r="DH49" s="166"/>
      <c r="DI49" s="166"/>
      <c r="DJ49" s="166"/>
      <c r="DK49" s="166"/>
      <c r="DL49" s="166"/>
      <c r="DM49" s="166"/>
      <c r="DN49" s="166"/>
      <c r="DO49" s="166"/>
      <c r="DP49" s="166"/>
      <c r="DQ49" s="166"/>
      <c r="DR49" s="166"/>
      <c r="DS49" s="166"/>
      <c r="DT49" s="166"/>
      <c r="DU49" s="166"/>
      <c r="DV49" s="166"/>
      <c r="DW49" s="166"/>
      <c r="DX49" s="166"/>
      <c r="DY49" s="166"/>
      <c r="DZ49" s="166"/>
      <c r="EA49" s="166"/>
      <c r="EB49" s="166"/>
      <c r="EC49" s="166"/>
      <c r="ED49" s="166"/>
      <c r="EE49" s="166"/>
      <c r="EF49" s="166"/>
      <c r="EG49" s="166"/>
      <c r="EH49" s="166"/>
      <c r="EI49" s="166"/>
      <c r="EJ49" s="166"/>
      <c r="EK49" s="166"/>
      <c r="EL49" s="166"/>
      <c r="EM49" s="166"/>
      <c r="EN49" s="166"/>
      <c r="EO49" s="166"/>
      <c r="EP49" s="166"/>
      <c r="EQ49" s="166"/>
      <c r="ER49" s="166"/>
      <c r="ES49" s="166"/>
      <c r="ET49" s="166"/>
      <c r="EU49" s="166"/>
      <c r="EV49" s="166"/>
      <c r="EW49" s="166"/>
      <c r="EX49" s="166"/>
      <c r="EY49" s="166"/>
      <c r="EZ49" s="166"/>
      <c r="FA49" s="166"/>
      <c r="FB49" s="166"/>
      <c r="FC49" s="166"/>
      <c r="FD49" s="166"/>
      <c r="FE49" s="166"/>
      <c r="FF49" s="166"/>
      <c r="FG49" s="166"/>
      <c r="FH49" s="166"/>
      <c r="FI49" s="166"/>
      <c r="FJ49" s="166"/>
      <c r="FK49" s="166"/>
      <c r="FL49" s="166"/>
      <c r="FM49" s="166"/>
      <c r="FN49" s="166"/>
      <c r="FO49" s="166"/>
      <c r="FP49" s="166"/>
      <c r="FQ49" s="166"/>
      <c r="FR49" s="166"/>
      <c r="FS49" s="166"/>
      <c r="FT49" s="166"/>
      <c r="FU49" s="166"/>
      <c r="FV49" s="166"/>
      <c r="FW49" s="166"/>
      <c r="FX49" s="166"/>
      <c r="FY49" s="166"/>
      <c r="FZ49" s="166"/>
      <c r="GA49" s="166"/>
      <c r="GB49" s="166"/>
      <c r="GC49" s="166"/>
      <c r="GD49" s="166"/>
      <c r="GE49" s="166"/>
      <c r="GF49" s="166"/>
      <c r="GG49" s="166"/>
      <c r="GH49" s="166"/>
      <c r="GI49" s="166"/>
      <c r="GJ49" s="166"/>
      <c r="GK49" s="166"/>
      <c r="GL49" s="166"/>
      <c r="GM49" s="166"/>
      <c r="GN49" s="166"/>
      <c r="GO49" s="166"/>
      <c r="GP49" s="166"/>
      <c r="GQ49" s="166"/>
      <c r="GR49" s="166"/>
      <c r="GS49" s="166"/>
      <c r="GT49" s="166"/>
      <c r="GU49" s="166"/>
      <c r="GV49" s="166"/>
      <c r="GW49" s="166"/>
      <c r="GX49" s="166"/>
      <c r="GY49" s="166"/>
      <c r="GZ49" s="166"/>
      <c r="HA49" s="166"/>
      <c r="HB49" s="166"/>
      <c r="HC49" s="166"/>
      <c r="HD49" s="166"/>
      <c r="HE49" s="166"/>
      <c r="HF49" s="166"/>
      <c r="HG49" s="166"/>
      <c r="HH49" s="166"/>
      <c r="HI49" s="166"/>
      <c r="HJ49" s="166"/>
      <c r="HK49" s="166"/>
      <c r="HL49" s="166"/>
      <c r="HM49" s="166"/>
      <c r="HN49" s="166"/>
      <c r="HO49" s="166"/>
      <c r="HP49" s="166"/>
      <c r="HQ49" s="166"/>
      <c r="HR49" s="166"/>
      <c r="HS49" s="166"/>
      <c r="HT49" s="166"/>
      <c r="HU49" s="166"/>
      <c r="HV49" s="166"/>
      <c r="HW49" s="166"/>
      <c r="HX49" s="166"/>
      <c r="HY49" s="166"/>
      <c r="HZ49" s="166"/>
      <c r="IA49" s="166"/>
      <c r="IB49" s="166"/>
      <c r="IC49" s="166"/>
      <c r="ID49" s="166"/>
      <c r="IE49" s="166"/>
      <c r="IF49" s="166"/>
      <c r="IG49" s="166"/>
      <c r="IH49" s="166"/>
      <c r="II49" s="166"/>
      <c r="IJ49" s="166"/>
      <c r="IK49" s="166"/>
      <c r="IL49" s="166"/>
      <c r="IM49" s="166"/>
    </row>
    <row r="50" spans="1:247" customFormat="1" ht="15" hidden="1">
      <c r="A50" s="225" t="s">
        <v>162</v>
      </c>
      <c r="B50" s="225"/>
      <c r="C50" s="229">
        <v>4.7</v>
      </c>
      <c r="D50" s="227">
        <v>5.04</v>
      </c>
      <c r="E50" s="224"/>
      <c r="F50" s="210" t="e">
        <f>CEILING((D50/#REF!)/B50,0.01)</f>
        <v>#REF!</v>
      </c>
      <c r="G50" s="211"/>
      <c r="H50" s="211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166"/>
      <c r="CP50" s="166"/>
      <c r="CQ50" s="166"/>
      <c r="CR50" s="166"/>
      <c r="CS50" s="166"/>
      <c r="CT50" s="166"/>
      <c r="CU50" s="166"/>
      <c r="CV50" s="166"/>
      <c r="CW50" s="166"/>
      <c r="CX50" s="166"/>
      <c r="CY50" s="166"/>
      <c r="CZ50" s="166"/>
      <c r="DA50" s="166"/>
      <c r="DB50" s="166"/>
      <c r="DC50" s="166"/>
      <c r="DD50" s="166"/>
      <c r="DE50" s="166"/>
      <c r="DF50" s="166"/>
      <c r="DG50" s="166"/>
      <c r="DH50" s="166"/>
      <c r="DI50" s="166"/>
      <c r="DJ50" s="166"/>
      <c r="DK50" s="166"/>
      <c r="DL50" s="166"/>
      <c r="DM50" s="166"/>
      <c r="DN50" s="166"/>
      <c r="DO50" s="166"/>
      <c r="DP50" s="166"/>
      <c r="DQ50" s="166"/>
      <c r="DR50" s="166"/>
      <c r="DS50" s="166"/>
      <c r="DT50" s="166"/>
      <c r="DU50" s="166"/>
      <c r="DV50" s="166"/>
      <c r="DW50" s="166"/>
      <c r="DX50" s="166"/>
      <c r="DY50" s="166"/>
      <c r="DZ50" s="166"/>
      <c r="EA50" s="166"/>
      <c r="EB50" s="166"/>
      <c r="EC50" s="166"/>
      <c r="ED50" s="166"/>
      <c r="EE50" s="166"/>
      <c r="EF50" s="166"/>
      <c r="EG50" s="166"/>
      <c r="EH50" s="166"/>
      <c r="EI50" s="166"/>
      <c r="EJ50" s="166"/>
      <c r="EK50" s="166"/>
      <c r="EL50" s="166"/>
      <c r="EM50" s="166"/>
      <c r="EN50" s="166"/>
      <c r="EO50" s="166"/>
      <c r="EP50" s="166"/>
      <c r="EQ50" s="166"/>
      <c r="ER50" s="166"/>
      <c r="ES50" s="166"/>
      <c r="ET50" s="166"/>
      <c r="EU50" s="166"/>
      <c r="EV50" s="166"/>
      <c r="EW50" s="166"/>
      <c r="EX50" s="166"/>
      <c r="EY50" s="166"/>
      <c r="EZ50" s="166"/>
      <c r="FA50" s="166"/>
      <c r="FB50" s="166"/>
      <c r="FC50" s="166"/>
      <c r="FD50" s="166"/>
      <c r="FE50" s="166"/>
      <c r="FF50" s="166"/>
      <c r="FG50" s="166"/>
      <c r="FH50" s="166"/>
      <c r="FI50" s="166"/>
      <c r="FJ50" s="166"/>
      <c r="FK50" s="166"/>
      <c r="FL50" s="166"/>
      <c r="FM50" s="166"/>
      <c r="FN50" s="166"/>
      <c r="FO50" s="166"/>
      <c r="FP50" s="166"/>
      <c r="FQ50" s="166"/>
      <c r="FR50" s="166"/>
      <c r="FS50" s="166"/>
      <c r="FT50" s="166"/>
      <c r="FU50" s="166"/>
      <c r="FV50" s="166"/>
      <c r="FW50" s="166"/>
      <c r="FX50" s="166"/>
      <c r="FY50" s="166"/>
      <c r="FZ50" s="166"/>
      <c r="GA50" s="166"/>
      <c r="GB50" s="166"/>
      <c r="GC50" s="166"/>
      <c r="GD50" s="166"/>
      <c r="GE50" s="166"/>
      <c r="GF50" s="166"/>
      <c r="GG50" s="166"/>
      <c r="GH50" s="166"/>
      <c r="GI50" s="166"/>
      <c r="GJ50" s="166"/>
      <c r="GK50" s="166"/>
      <c r="GL50" s="166"/>
      <c r="GM50" s="166"/>
      <c r="GN50" s="166"/>
      <c r="GO50" s="166"/>
      <c r="GP50" s="166"/>
      <c r="GQ50" s="166"/>
      <c r="GR50" s="166"/>
      <c r="GS50" s="166"/>
      <c r="GT50" s="166"/>
      <c r="GU50" s="166"/>
      <c r="GV50" s="166"/>
      <c r="GW50" s="166"/>
      <c r="GX50" s="166"/>
      <c r="GY50" s="166"/>
      <c r="GZ50" s="166"/>
      <c r="HA50" s="166"/>
      <c r="HB50" s="166"/>
      <c r="HC50" s="166"/>
      <c r="HD50" s="166"/>
      <c r="HE50" s="166"/>
      <c r="HF50" s="166"/>
      <c r="HG50" s="166"/>
      <c r="HH50" s="166"/>
      <c r="HI50" s="166"/>
      <c r="HJ50" s="166"/>
      <c r="HK50" s="166"/>
      <c r="HL50" s="166"/>
      <c r="HM50" s="166"/>
      <c r="HN50" s="166"/>
      <c r="HO50" s="166"/>
      <c r="HP50" s="166"/>
      <c r="HQ50" s="166"/>
      <c r="HR50" s="166"/>
      <c r="HS50" s="166"/>
      <c r="HT50" s="166"/>
      <c r="HU50" s="166"/>
      <c r="HV50" s="166"/>
      <c r="HW50" s="166"/>
      <c r="HX50" s="166"/>
      <c r="HY50" s="166"/>
      <c r="HZ50" s="166"/>
      <c r="IA50" s="166"/>
      <c r="IB50" s="166"/>
      <c r="IC50" s="166"/>
      <c r="ID50" s="166"/>
      <c r="IE50" s="166"/>
      <c r="IF50" s="166"/>
      <c r="IG50" s="166"/>
      <c r="IH50" s="166"/>
      <c r="II50" s="166"/>
      <c r="IJ50" s="166"/>
      <c r="IK50" s="166"/>
      <c r="IL50" s="166"/>
      <c r="IM50" s="166"/>
    </row>
    <row r="51" spans="1:247" customFormat="1" ht="15" hidden="1">
      <c r="A51" s="225" t="s">
        <v>163</v>
      </c>
      <c r="B51" s="225"/>
      <c r="C51" s="229">
        <v>0.56000000000000005</v>
      </c>
      <c r="D51" s="228">
        <v>0.6</v>
      </c>
      <c r="E51" s="224"/>
      <c r="F51" s="210" t="e">
        <f>CEILING((D51/#REF!)/B51,0.01)</f>
        <v>#REF!</v>
      </c>
      <c r="G51" s="211"/>
      <c r="H51" s="211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  <c r="DC51" s="166"/>
      <c r="DD51" s="166"/>
      <c r="DE51" s="166"/>
      <c r="DF51" s="166"/>
      <c r="DG51" s="166"/>
      <c r="DH51" s="166"/>
      <c r="DI51" s="166"/>
      <c r="DJ51" s="166"/>
      <c r="DK51" s="166"/>
      <c r="DL51" s="166"/>
      <c r="DM51" s="166"/>
      <c r="DN51" s="166"/>
      <c r="DO51" s="166"/>
      <c r="DP51" s="166"/>
      <c r="DQ51" s="166"/>
      <c r="DR51" s="166"/>
      <c r="DS51" s="166"/>
      <c r="DT51" s="166"/>
      <c r="DU51" s="166"/>
      <c r="DV51" s="166"/>
      <c r="DW51" s="166"/>
      <c r="DX51" s="166"/>
      <c r="DY51" s="166"/>
      <c r="DZ51" s="166"/>
      <c r="EA51" s="166"/>
      <c r="EB51" s="166"/>
      <c r="EC51" s="166"/>
      <c r="ED51" s="166"/>
      <c r="EE51" s="166"/>
      <c r="EF51" s="166"/>
      <c r="EG51" s="166"/>
      <c r="EH51" s="166"/>
      <c r="EI51" s="166"/>
      <c r="EJ51" s="166"/>
      <c r="EK51" s="166"/>
      <c r="EL51" s="166"/>
      <c r="EM51" s="166"/>
      <c r="EN51" s="166"/>
      <c r="EO51" s="166"/>
      <c r="EP51" s="166"/>
      <c r="EQ51" s="166"/>
      <c r="ER51" s="166"/>
      <c r="ES51" s="166"/>
      <c r="ET51" s="166"/>
      <c r="EU51" s="166"/>
      <c r="EV51" s="166"/>
      <c r="EW51" s="166"/>
      <c r="EX51" s="166"/>
      <c r="EY51" s="166"/>
      <c r="EZ51" s="166"/>
      <c r="FA51" s="166"/>
      <c r="FB51" s="166"/>
      <c r="FC51" s="166"/>
      <c r="FD51" s="166"/>
      <c r="FE51" s="166"/>
      <c r="FF51" s="166"/>
      <c r="FG51" s="166"/>
      <c r="FH51" s="166"/>
      <c r="FI51" s="166"/>
      <c r="FJ51" s="166"/>
      <c r="FK51" s="166"/>
      <c r="FL51" s="166"/>
      <c r="FM51" s="166"/>
      <c r="FN51" s="166"/>
      <c r="FO51" s="166"/>
      <c r="FP51" s="166"/>
      <c r="FQ51" s="166"/>
      <c r="FR51" s="166"/>
      <c r="FS51" s="166"/>
      <c r="FT51" s="166"/>
      <c r="FU51" s="166"/>
      <c r="FV51" s="166"/>
      <c r="FW51" s="166"/>
      <c r="FX51" s="166"/>
      <c r="FY51" s="166"/>
      <c r="FZ51" s="166"/>
      <c r="GA51" s="166"/>
      <c r="GB51" s="166"/>
      <c r="GC51" s="166"/>
      <c r="GD51" s="166"/>
      <c r="GE51" s="166"/>
      <c r="GF51" s="166"/>
      <c r="GG51" s="166"/>
      <c r="GH51" s="166"/>
      <c r="GI51" s="166"/>
      <c r="GJ51" s="166"/>
      <c r="GK51" s="166"/>
      <c r="GL51" s="166"/>
      <c r="GM51" s="166"/>
      <c r="GN51" s="166"/>
      <c r="GO51" s="166"/>
      <c r="GP51" s="166"/>
      <c r="GQ51" s="166"/>
      <c r="GR51" s="166"/>
      <c r="GS51" s="166"/>
      <c r="GT51" s="166"/>
      <c r="GU51" s="166"/>
      <c r="GV51" s="166"/>
      <c r="GW51" s="166"/>
      <c r="GX51" s="166"/>
      <c r="GY51" s="166"/>
      <c r="GZ51" s="166"/>
      <c r="HA51" s="166"/>
      <c r="HB51" s="166"/>
      <c r="HC51" s="166"/>
      <c r="HD51" s="166"/>
      <c r="HE51" s="166"/>
      <c r="HF51" s="166"/>
      <c r="HG51" s="166"/>
      <c r="HH51" s="166"/>
      <c r="HI51" s="166"/>
      <c r="HJ51" s="166"/>
      <c r="HK51" s="166"/>
      <c r="HL51" s="166"/>
      <c r="HM51" s="166"/>
      <c r="HN51" s="166"/>
      <c r="HO51" s="166"/>
      <c r="HP51" s="166"/>
      <c r="HQ51" s="166"/>
      <c r="HR51" s="166"/>
      <c r="HS51" s="166"/>
      <c r="HT51" s="166"/>
      <c r="HU51" s="166"/>
      <c r="HV51" s="166"/>
      <c r="HW51" s="166"/>
      <c r="HX51" s="166"/>
      <c r="HY51" s="166"/>
      <c r="HZ51" s="166"/>
      <c r="IA51" s="166"/>
      <c r="IB51" s="166"/>
      <c r="IC51" s="166"/>
      <c r="ID51" s="166"/>
      <c r="IE51" s="166"/>
      <c r="IF51" s="166"/>
      <c r="IG51" s="166"/>
      <c r="IH51" s="166"/>
      <c r="II51" s="166"/>
      <c r="IJ51" s="166"/>
      <c r="IK51" s="166"/>
      <c r="IL51" s="166"/>
      <c r="IM51" s="166"/>
    </row>
    <row r="52" spans="1:247" customFormat="1" ht="15" hidden="1">
      <c r="A52" s="230" t="s">
        <v>164</v>
      </c>
      <c r="B52" s="230"/>
      <c r="C52" s="231">
        <v>1.41</v>
      </c>
      <c r="D52" s="232">
        <v>1.51</v>
      </c>
      <c r="E52" s="224"/>
      <c r="F52" s="210" t="e">
        <f>CEILING((D52/#REF!)/B52,0.01)</f>
        <v>#REF!</v>
      </c>
      <c r="G52" s="211"/>
      <c r="H52" s="211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6"/>
      <c r="CT52" s="166"/>
      <c r="CU52" s="166"/>
      <c r="CV52" s="166"/>
      <c r="CW52" s="166"/>
      <c r="CX52" s="166"/>
      <c r="CY52" s="166"/>
      <c r="CZ52" s="166"/>
      <c r="DA52" s="166"/>
      <c r="DB52" s="166"/>
      <c r="DC52" s="166"/>
      <c r="DD52" s="166"/>
      <c r="DE52" s="166"/>
      <c r="DF52" s="166"/>
      <c r="DG52" s="166"/>
      <c r="DH52" s="166"/>
      <c r="DI52" s="166"/>
      <c r="DJ52" s="166"/>
      <c r="DK52" s="166"/>
      <c r="DL52" s="166"/>
      <c r="DM52" s="166"/>
      <c r="DN52" s="166"/>
      <c r="DO52" s="166"/>
      <c r="DP52" s="166"/>
      <c r="DQ52" s="166"/>
      <c r="DR52" s="166"/>
      <c r="DS52" s="166"/>
      <c r="DT52" s="166"/>
      <c r="DU52" s="166"/>
      <c r="DV52" s="166"/>
      <c r="DW52" s="166"/>
      <c r="DX52" s="166"/>
      <c r="DY52" s="166"/>
      <c r="DZ52" s="166"/>
      <c r="EA52" s="166"/>
      <c r="EB52" s="166"/>
      <c r="EC52" s="166"/>
      <c r="ED52" s="166"/>
      <c r="EE52" s="166"/>
      <c r="EF52" s="166"/>
      <c r="EG52" s="166"/>
      <c r="EH52" s="166"/>
      <c r="EI52" s="166"/>
      <c r="EJ52" s="166"/>
      <c r="EK52" s="166"/>
      <c r="EL52" s="166"/>
      <c r="EM52" s="166"/>
      <c r="EN52" s="166"/>
      <c r="EO52" s="166"/>
      <c r="EP52" s="166"/>
      <c r="EQ52" s="166"/>
      <c r="ER52" s="166"/>
      <c r="ES52" s="166"/>
      <c r="ET52" s="166"/>
      <c r="EU52" s="166"/>
      <c r="EV52" s="166"/>
      <c r="EW52" s="166"/>
      <c r="EX52" s="166"/>
      <c r="EY52" s="166"/>
      <c r="EZ52" s="166"/>
      <c r="FA52" s="166"/>
      <c r="FB52" s="166"/>
      <c r="FC52" s="166"/>
      <c r="FD52" s="166"/>
      <c r="FE52" s="166"/>
      <c r="FF52" s="166"/>
      <c r="FG52" s="166"/>
      <c r="FH52" s="166"/>
      <c r="FI52" s="166"/>
      <c r="FJ52" s="166"/>
      <c r="FK52" s="166"/>
      <c r="FL52" s="166"/>
      <c r="FM52" s="166"/>
      <c r="FN52" s="166"/>
      <c r="FO52" s="166"/>
      <c r="FP52" s="166"/>
      <c r="FQ52" s="166"/>
      <c r="FR52" s="166"/>
      <c r="FS52" s="166"/>
      <c r="FT52" s="166"/>
      <c r="FU52" s="166"/>
      <c r="FV52" s="166"/>
      <c r="FW52" s="166"/>
      <c r="FX52" s="166"/>
      <c r="FY52" s="166"/>
      <c r="FZ52" s="166"/>
      <c r="GA52" s="166"/>
      <c r="GB52" s="166"/>
      <c r="GC52" s="166"/>
      <c r="GD52" s="166"/>
      <c r="GE52" s="166"/>
      <c r="GF52" s="166"/>
      <c r="GG52" s="166"/>
      <c r="GH52" s="166"/>
      <c r="GI52" s="166"/>
      <c r="GJ52" s="166"/>
      <c r="GK52" s="166"/>
      <c r="GL52" s="166"/>
      <c r="GM52" s="166"/>
      <c r="GN52" s="166"/>
      <c r="GO52" s="166"/>
      <c r="GP52" s="166"/>
      <c r="GQ52" s="166"/>
      <c r="GR52" s="166"/>
      <c r="GS52" s="166"/>
      <c r="GT52" s="166"/>
      <c r="GU52" s="166"/>
      <c r="GV52" s="166"/>
      <c r="GW52" s="166"/>
      <c r="GX52" s="166"/>
      <c r="GY52" s="166"/>
      <c r="GZ52" s="166"/>
      <c r="HA52" s="166"/>
      <c r="HB52" s="166"/>
      <c r="HC52" s="166"/>
      <c r="HD52" s="166"/>
      <c r="HE52" s="166"/>
      <c r="HF52" s="166"/>
      <c r="HG52" s="166"/>
      <c r="HH52" s="166"/>
      <c r="HI52" s="166"/>
      <c r="HJ52" s="166"/>
      <c r="HK52" s="166"/>
      <c r="HL52" s="166"/>
      <c r="HM52" s="166"/>
      <c r="HN52" s="166"/>
      <c r="HO52" s="166"/>
      <c r="HP52" s="166"/>
      <c r="HQ52" s="166"/>
      <c r="HR52" s="166"/>
      <c r="HS52" s="166"/>
      <c r="HT52" s="166"/>
      <c r="HU52" s="166"/>
      <c r="HV52" s="166"/>
      <c r="HW52" s="166"/>
      <c r="HX52" s="166"/>
      <c r="HY52" s="166"/>
      <c r="HZ52" s="166"/>
      <c r="IA52" s="166"/>
      <c r="IB52" s="166"/>
      <c r="IC52" s="166"/>
      <c r="ID52" s="166"/>
      <c r="IE52" s="166"/>
      <c r="IF52" s="166"/>
      <c r="IG52" s="166"/>
      <c r="IH52" s="166"/>
      <c r="II52" s="166"/>
      <c r="IJ52" s="166"/>
      <c r="IK52" s="166"/>
      <c r="IL52" s="166"/>
      <c r="IM52" s="166"/>
    </row>
    <row r="53" spans="1:247" customFormat="1" ht="14.25">
      <c r="A53" s="233" t="s">
        <v>165</v>
      </c>
      <c r="B53" s="234">
        <v>30</v>
      </c>
      <c r="C53" s="235">
        <v>2.0099999999999998</v>
      </c>
      <c r="D53" s="208">
        <f>D57</f>
        <v>1.3427879376326648</v>
      </c>
      <c r="E53" s="209">
        <f>F53*D9</f>
        <v>1.3439999999999999</v>
      </c>
      <c r="F53" s="210">
        <f>CEILING((D53/$D$9),0.01)</f>
        <v>1.92</v>
      </c>
      <c r="G53" s="211"/>
      <c r="H53" s="211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66"/>
      <c r="CN53" s="166"/>
      <c r="CO53" s="166"/>
      <c r="CP53" s="166"/>
      <c r="CQ53" s="166"/>
      <c r="CR53" s="166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  <c r="DC53" s="166"/>
      <c r="DD53" s="166"/>
      <c r="DE53" s="166"/>
      <c r="DF53" s="166"/>
      <c r="DG53" s="166"/>
      <c r="DH53" s="166"/>
      <c r="DI53" s="166"/>
      <c r="DJ53" s="166"/>
      <c r="DK53" s="166"/>
      <c r="DL53" s="166"/>
      <c r="DM53" s="166"/>
      <c r="DN53" s="166"/>
      <c r="DO53" s="166"/>
      <c r="DP53" s="166"/>
      <c r="DQ53" s="166"/>
      <c r="DR53" s="166"/>
      <c r="DS53" s="166"/>
      <c r="DT53" s="166"/>
      <c r="DU53" s="166"/>
      <c r="DV53" s="166"/>
      <c r="DW53" s="166"/>
      <c r="DX53" s="166"/>
      <c r="DY53" s="166"/>
      <c r="DZ53" s="166"/>
      <c r="EA53" s="166"/>
      <c r="EB53" s="166"/>
      <c r="EC53" s="166"/>
      <c r="ED53" s="166"/>
      <c r="EE53" s="166"/>
      <c r="EF53" s="166"/>
      <c r="EG53" s="166"/>
      <c r="EH53" s="166"/>
      <c r="EI53" s="166"/>
      <c r="EJ53" s="166"/>
      <c r="EK53" s="166"/>
      <c r="EL53" s="166"/>
      <c r="EM53" s="166"/>
      <c r="EN53" s="166"/>
      <c r="EO53" s="166"/>
      <c r="EP53" s="166"/>
      <c r="EQ53" s="166"/>
      <c r="ER53" s="166"/>
      <c r="ES53" s="166"/>
      <c r="ET53" s="166"/>
      <c r="EU53" s="166"/>
      <c r="EV53" s="166"/>
      <c r="EW53" s="166"/>
      <c r="EX53" s="166"/>
      <c r="EY53" s="166"/>
      <c r="EZ53" s="166"/>
      <c r="FA53" s="166"/>
      <c r="FB53" s="166"/>
      <c r="FC53" s="166"/>
      <c r="FD53" s="166"/>
      <c r="FE53" s="166"/>
      <c r="FF53" s="166"/>
      <c r="FG53" s="166"/>
      <c r="FH53" s="166"/>
      <c r="FI53" s="166"/>
      <c r="FJ53" s="166"/>
      <c r="FK53" s="166"/>
      <c r="FL53" s="166"/>
      <c r="FM53" s="166"/>
      <c r="FN53" s="166"/>
      <c r="FO53" s="166"/>
      <c r="FP53" s="166"/>
      <c r="FQ53" s="166"/>
      <c r="FR53" s="166"/>
      <c r="FS53" s="166"/>
      <c r="FT53" s="166"/>
      <c r="FU53" s="166"/>
      <c r="FV53" s="166"/>
      <c r="FW53" s="166"/>
      <c r="FX53" s="166"/>
      <c r="FY53" s="166"/>
      <c r="FZ53" s="166"/>
      <c r="GA53" s="166"/>
      <c r="GB53" s="166"/>
      <c r="GC53" s="166"/>
      <c r="GD53" s="166"/>
      <c r="GE53" s="166"/>
      <c r="GF53" s="166"/>
      <c r="GG53" s="166"/>
      <c r="GH53" s="166"/>
      <c r="GI53" s="166"/>
      <c r="GJ53" s="166"/>
      <c r="GK53" s="166"/>
      <c r="GL53" s="166"/>
      <c r="GM53" s="166"/>
      <c r="GN53" s="166"/>
      <c r="GO53" s="166"/>
      <c r="GP53" s="166"/>
      <c r="GQ53" s="166"/>
      <c r="GR53" s="166"/>
      <c r="GS53" s="166"/>
      <c r="GT53" s="166"/>
      <c r="GU53" s="166"/>
      <c r="GV53" s="166"/>
      <c r="GW53" s="166"/>
      <c r="GX53" s="166"/>
      <c r="GY53" s="166"/>
      <c r="GZ53" s="166"/>
      <c r="HA53" s="166"/>
      <c r="HB53" s="166"/>
      <c r="HC53" s="166"/>
      <c r="HD53" s="166"/>
      <c r="HE53" s="166"/>
      <c r="HF53" s="166"/>
      <c r="HG53" s="166"/>
      <c r="HH53" s="166"/>
      <c r="HI53" s="166"/>
      <c r="HJ53" s="166"/>
      <c r="HK53" s="166"/>
      <c r="HL53" s="166"/>
      <c r="HM53" s="166"/>
      <c r="HN53" s="166"/>
      <c r="HO53" s="166"/>
      <c r="HP53" s="166"/>
      <c r="HQ53" s="166"/>
      <c r="HR53" s="166"/>
      <c r="HS53" s="166"/>
      <c r="HT53" s="166"/>
      <c r="HU53" s="166"/>
      <c r="HV53" s="166"/>
      <c r="HW53" s="166"/>
      <c r="HX53" s="166"/>
      <c r="HY53" s="166"/>
      <c r="HZ53" s="166"/>
      <c r="IA53" s="166"/>
      <c r="IB53" s="166"/>
      <c r="IC53" s="166"/>
      <c r="ID53" s="166"/>
      <c r="IE53" s="166"/>
      <c r="IF53" s="166"/>
      <c r="IG53" s="166"/>
      <c r="IH53" s="166"/>
      <c r="II53" s="166"/>
      <c r="IJ53" s="166"/>
      <c r="IK53" s="166"/>
      <c r="IL53" s="166"/>
      <c r="IM53" s="166"/>
    </row>
    <row r="54" spans="1:247" customFormat="1" ht="14.25">
      <c r="A54" s="211"/>
      <c r="B54" s="211"/>
      <c r="C54" s="211"/>
      <c r="D54" s="204"/>
      <c r="E54" s="204"/>
      <c r="F54" s="204"/>
      <c r="G54" s="211"/>
      <c r="H54" s="211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6"/>
      <c r="BR54" s="166"/>
      <c r="BS54" s="166"/>
      <c r="BT54" s="166"/>
      <c r="BU54" s="166"/>
      <c r="BV54" s="166"/>
      <c r="BW54" s="166"/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  <c r="CM54" s="166"/>
      <c r="CN54" s="166"/>
      <c r="CO54" s="166"/>
      <c r="CP54" s="166"/>
      <c r="CQ54" s="166"/>
      <c r="CR54" s="166"/>
      <c r="CS54" s="166"/>
      <c r="CT54" s="166"/>
      <c r="CU54" s="166"/>
      <c r="CV54" s="166"/>
      <c r="CW54" s="166"/>
      <c r="CX54" s="166"/>
      <c r="CY54" s="166"/>
      <c r="CZ54" s="166"/>
      <c r="DA54" s="166"/>
      <c r="DB54" s="166"/>
      <c r="DC54" s="166"/>
      <c r="DD54" s="166"/>
      <c r="DE54" s="166"/>
      <c r="DF54" s="166"/>
      <c r="DG54" s="166"/>
      <c r="DH54" s="166"/>
      <c r="DI54" s="166"/>
      <c r="DJ54" s="166"/>
      <c r="DK54" s="166"/>
      <c r="DL54" s="166"/>
      <c r="DM54" s="166"/>
      <c r="DN54" s="166"/>
      <c r="DO54" s="166"/>
      <c r="DP54" s="166"/>
      <c r="DQ54" s="166"/>
      <c r="DR54" s="166"/>
      <c r="DS54" s="166"/>
      <c r="DT54" s="166"/>
      <c r="DU54" s="166"/>
      <c r="DV54" s="166"/>
      <c r="DW54" s="166"/>
      <c r="DX54" s="166"/>
      <c r="DY54" s="166"/>
      <c r="DZ54" s="166"/>
      <c r="EA54" s="166"/>
      <c r="EB54" s="166"/>
      <c r="EC54" s="166"/>
      <c r="ED54" s="166"/>
      <c r="EE54" s="166"/>
      <c r="EF54" s="166"/>
      <c r="EG54" s="166"/>
      <c r="EH54" s="166"/>
      <c r="EI54" s="166"/>
      <c r="EJ54" s="166"/>
      <c r="EK54" s="166"/>
      <c r="EL54" s="166"/>
      <c r="EM54" s="166"/>
      <c r="EN54" s="166"/>
      <c r="EO54" s="166"/>
      <c r="EP54" s="166"/>
      <c r="EQ54" s="166"/>
      <c r="ER54" s="166"/>
      <c r="ES54" s="166"/>
      <c r="ET54" s="166"/>
      <c r="EU54" s="166"/>
      <c r="EV54" s="166"/>
      <c r="EW54" s="166"/>
      <c r="EX54" s="166"/>
      <c r="EY54" s="166"/>
      <c r="EZ54" s="166"/>
      <c r="FA54" s="166"/>
      <c r="FB54" s="166"/>
      <c r="FC54" s="166"/>
      <c r="FD54" s="166"/>
      <c r="FE54" s="166"/>
      <c r="FF54" s="166"/>
      <c r="FG54" s="166"/>
      <c r="FH54" s="166"/>
      <c r="FI54" s="166"/>
      <c r="FJ54" s="166"/>
      <c r="FK54" s="166"/>
      <c r="FL54" s="166"/>
      <c r="FM54" s="166"/>
      <c r="FN54" s="166"/>
      <c r="FO54" s="166"/>
      <c r="FP54" s="166"/>
      <c r="FQ54" s="166"/>
      <c r="FR54" s="166"/>
      <c r="FS54" s="166"/>
      <c r="FT54" s="166"/>
      <c r="FU54" s="166"/>
      <c r="FV54" s="166"/>
      <c r="FW54" s="166"/>
      <c r="FX54" s="166"/>
      <c r="FY54" s="166"/>
      <c r="FZ54" s="166"/>
      <c r="GA54" s="166"/>
      <c r="GB54" s="166"/>
      <c r="GC54" s="166"/>
      <c r="GD54" s="166"/>
      <c r="GE54" s="166"/>
      <c r="GF54" s="166"/>
      <c r="GG54" s="166"/>
      <c r="GH54" s="166"/>
      <c r="GI54" s="166"/>
      <c r="GJ54" s="166"/>
      <c r="GK54" s="166"/>
      <c r="GL54" s="166"/>
      <c r="GM54" s="166"/>
      <c r="GN54" s="166"/>
      <c r="GO54" s="166"/>
      <c r="GP54" s="166"/>
      <c r="GQ54" s="166"/>
      <c r="GR54" s="166"/>
      <c r="GS54" s="166"/>
      <c r="GT54" s="166"/>
      <c r="GU54" s="166"/>
      <c r="GV54" s="166"/>
      <c r="GW54" s="166"/>
      <c r="GX54" s="166"/>
      <c r="GY54" s="166"/>
      <c r="GZ54" s="166"/>
      <c r="HA54" s="166"/>
      <c r="HB54" s="166"/>
      <c r="HC54" s="166"/>
      <c r="HD54" s="166"/>
      <c r="HE54" s="166"/>
      <c r="HF54" s="166"/>
      <c r="HG54" s="166"/>
      <c r="HH54" s="166"/>
      <c r="HI54" s="166"/>
      <c r="HJ54" s="166"/>
      <c r="HK54" s="166"/>
      <c r="HL54" s="166"/>
      <c r="HM54" s="166"/>
      <c r="HN54" s="166"/>
      <c r="HO54" s="166"/>
      <c r="HP54" s="166"/>
      <c r="HQ54" s="166"/>
      <c r="HR54" s="166"/>
      <c r="HS54" s="166"/>
      <c r="HT54" s="166"/>
      <c r="HU54" s="166"/>
      <c r="HV54" s="166"/>
      <c r="HW54" s="166"/>
      <c r="HX54" s="166"/>
      <c r="HY54" s="166"/>
      <c r="HZ54" s="166"/>
      <c r="IA54" s="166"/>
      <c r="IB54" s="166"/>
      <c r="IC54" s="166"/>
      <c r="ID54" s="166"/>
      <c r="IE54" s="166"/>
      <c r="IF54" s="166"/>
      <c r="IG54" s="166"/>
      <c r="IH54" s="166"/>
      <c r="II54" s="166"/>
      <c r="IJ54" s="166"/>
      <c r="IK54" s="166"/>
      <c r="IL54" s="166"/>
      <c r="IM54" s="166"/>
    </row>
    <row r="55" spans="1:247" s="165" customFormat="1" ht="22.5">
      <c r="A55" s="296" t="s">
        <v>166</v>
      </c>
      <c r="B55" s="296"/>
      <c r="C55" s="296"/>
      <c r="D55" s="296"/>
      <c r="E55" s="296"/>
      <c r="F55" s="296"/>
      <c r="G55" s="211"/>
      <c r="H55" s="211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  <c r="CM55" s="166"/>
      <c r="CN55" s="166"/>
      <c r="CO55" s="166"/>
      <c r="CP55" s="166"/>
      <c r="CQ55" s="166"/>
      <c r="CR55" s="166"/>
      <c r="CS55" s="166"/>
      <c r="CT55" s="166"/>
      <c r="CU55" s="166"/>
      <c r="CV55" s="166"/>
      <c r="CW55" s="166"/>
      <c r="CX55" s="166"/>
      <c r="CY55" s="166"/>
      <c r="CZ55" s="166"/>
      <c r="DA55" s="166"/>
      <c r="DB55" s="166"/>
      <c r="DC55" s="166"/>
      <c r="DD55" s="166"/>
      <c r="DE55" s="166"/>
      <c r="DF55" s="166"/>
      <c r="DG55" s="166"/>
      <c r="DH55" s="166"/>
      <c r="DI55" s="166"/>
      <c r="DJ55" s="166"/>
      <c r="DK55" s="166"/>
      <c r="DL55" s="166"/>
      <c r="DM55" s="166"/>
      <c r="DN55" s="166"/>
      <c r="DO55" s="166"/>
      <c r="DP55" s="166"/>
      <c r="DQ55" s="166"/>
      <c r="DR55" s="166"/>
      <c r="DS55" s="166"/>
      <c r="DT55" s="166"/>
      <c r="DU55" s="166"/>
      <c r="DV55" s="166"/>
      <c r="DW55" s="166"/>
      <c r="DX55" s="166"/>
      <c r="DY55" s="166"/>
      <c r="DZ55" s="166"/>
      <c r="EA55" s="166"/>
      <c r="EB55" s="166"/>
      <c r="EC55" s="166"/>
      <c r="ED55" s="166"/>
      <c r="EE55" s="166"/>
      <c r="EF55" s="166"/>
      <c r="EG55" s="166"/>
      <c r="EH55" s="166"/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166"/>
      <c r="ET55" s="166"/>
      <c r="EU55" s="166"/>
      <c r="EV55" s="166"/>
      <c r="EW55" s="166"/>
      <c r="EX55" s="166"/>
      <c r="EY55" s="166"/>
      <c r="EZ55" s="166"/>
      <c r="FA55" s="166"/>
      <c r="FB55" s="166"/>
      <c r="FC55" s="166"/>
      <c r="FD55" s="166"/>
      <c r="FE55" s="166"/>
      <c r="FF55" s="166"/>
      <c r="FG55" s="166"/>
      <c r="FH55" s="166"/>
      <c r="FI55" s="166"/>
      <c r="FJ55" s="166"/>
      <c r="FK55" s="166"/>
      <c r="FL55" s="166"/>
      <c r="FM55" s="166"/>
      <c r="FN55" s="166"/>
      <c r="FO55" s="166"/>
      <c r="FP55" s="166"/>
      <c r="FQ55" s="166"/>
      <c r="FR55" s="166"/>
      <c r="FS55" s="166"/>
      <c r="FT55" s="166"/>
      <c r="FU55" s="166"/>
      <c r="FV55" s="166"/>
      <c r="FW55" s="166"/>
      <c r="FX55" s="166"/>
      <c r="FY55" s="166"/>
      <c r="FZ55" s="166"/>
      <c r="GA55" s="166"/>
      <c r="GB55" s="166"/>
      <c r="GC55" s="166"/>
      <c r="GD55" s="166"/>
      <c r="GE55" s="166"/>
      <c r="GF55" s="166"/>
      <c r="GG55" s="166"/>
      <c r="GH55" s="166"/>
      <c r="GI55" s="166"/>
      <c r="GJ55" s="166"/>
      <c r="GK55" s="166"/>
      <c r="GL55" s="166"/>
      <c r="GM55" s="166"/>
      <c r="GN55" s="166"/>
      <c r="GO55" s="166"/>
      <c r="GP55" s="166"/>
      <c r="GQ55" s="166"/>
      <c r="GR55" s="166"/>
      <c r="GS55" s="166"/>
      <c r="GT55" s="166"/>
      <c r="GU55" s="166"/>
      <c r="GV55" s="166"/>
      <c r="GW55" s="166"/>
      <c r="GX55" s="166"/>
      <c r="GY55" s="166"/>
      <c r="GZ55" s="166"/>
      <c r="HA55" s="166"/>
      <c r="HB55" s="166"/>
      <c r="HC55" s="166"/>
      <c r="HD55" s="166"/>
      <c r="HE55" s="166"/>
      <c r="HF55" s="166"/>
      <c r="HG55" s="166"/>
      <c r="HH55" s="166"/>
      <c r="HI55" s="166"/>
      <c r="HJ55" s="166"/>
      <c r="HK55" s="166"/>
      <c r="HL55" s="166"/>
      <c r="HM55" s="166"/>
      <c r="HN55" s="166"/>
      <c r="HO55" s="166"/>
      <c r="HP55" s="166"/>
      <c r="HQ55" s="166"/>
      <c r="HR55" s="166"/>
      <c r="HS55" s="166"/>
      <c r="HT55" s="166"/>
      <c r="HU55" s="166"/>
      <c r="HV55" s="166"/>
      <c r="HW55" s="166"/>
      <c r="HX55" s="166"/>
      <c r="HY55" s="166"/>
      <c r="HZ55" s="166"/>
      <c r="IA55" s="166"/>
      <c r="IB55" s="166"/>
      <c r="IC55" s="166"/>
      <c r="ID55" s="166"/>
      <c r="IE55" s="166"/>
      <c r="IF55" s="166"/>
      <c r="IG55" s="166"/>
      <c r="IH55" s="166"/>
      <c r="II55" s="166"/>
      <c r="IJ55" s="166"/>
      <c r="IK55" s="166"/>
      <c r="IL55" s="166"/>
      <c r="IM55" s="166"/>
    </row>
    <row r="56" spans="1:247" s="166" customFormat="1" ht="31.5" customHeight="1">
      <c r="A56" s="301" t="s">
        <v>167</v>
      </c>
      <c r="B56" s="301"/>
      <c r="C56" s="301"/>
      <c r="D56" s="301"/>
      <c r="E56" s="301"/>
      <c r="F56" s="301"/>
      <c r="G56" s="211"/>
      <c r="H56" s="211"/>
    </row>
    <row r="57" spans="1:247" s="165" customFormat="1" ht="14.25">
      <c r="A57" s="233" t="s">
        <v>168</v>
      </c>
      <c r="B57" s="234">
        <v>30</v>
      </c>
      <c r="C57" s="211"/>
      <c r="D57" s="208">
        <f>TARIFFE2020!C57</f>
        <v>1.3427879376326648</v>
      </c>
      <c r="E57" s="209">
        <f>F57*$D$9</f>
        <v>1.3439999999999999</v>
      </c>
      <c r="F57" s="236">
        <f>CEILING(D57/$D$9,0.01)</f>
        <v>1.92</v>
      </c>
      <c r="G57" s="211"/>
      <c r="H57" s="211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  <c r="CM57" s="166"/>
      <c r="CN57" s="166"/>
      <c r="CO57" s="166"/>
      <c r="CP57" s="166"/>
      <c r="CQ57" s="166"/>
      <c r="CR57" s="166"/>
      <c r="CS57" s="166"/>
      <c r="CT57" s="166"/>
      <c r="CU57" s="166"/>
      <c r="CV57" s="166"/>
      <c r="CW57" s="166"/>
      <c r="CX57" s="166"/>
      <c r="CY57" s="166"/>
      <c r="CZ57" s="166"/>
      <c r="DA57" s="166"/>
      <c r="DB57" s="166"/>
      <c r="DC57" s="166"/>
      <c r="DD57" s="166"/>
      <c r="DE57" s="166"/>
      <c r="DF57" s="166"/>
      <c r="DG57" s="166"/>
      <c r="DH57" s="166"/>
      <c r="DI57" s="166"/>
      <c r="DJ57" s="166"/>
      <c r="DK57" s="166"/>
      <c r="DL57" s="166"/>
      <c r="DM57" s="166"/>
      <c r="DN57" s="166"/>
      <c r="DO57" s="166"/>
      <c r="DP57" s="166"/>
      <c r="DQ57" s="166"/>
      <c r="DR57" s="166"/>
      <c r="DS57" s="166"/>
      <c r="DT57" s="166"/>
      <c r="DU57" s="166"/>
      <c r="DV57" s="166"/>
      <c r="DW57" s="166"/>
      <c r="DX57" s="166"/>
      <c r="DY57" s="166"/>
      <c r="DZ57" s="166"/>
      <c r="EA57" s="166"/>
      <c r="EB57" s="166"/>
      <c r="EC57" s="166"/>
      <c r="ED57" s="166"/>
      <c r="EE57" s="166"/>
      <c r="EF57" s="166"/>
      <c r="EG57" s="166"/>
      <c r="EH57" s="166"/>
      <c r="EI57" s="166"/>
      <c r="EJ57" s="166"/>
      <c r="EK57" s="166"/>
      <c r="EL57" s="166"/>
      <c r="EM57" s="166"/>
      <c r="EN57" s="166"/>
      <c r="EO57" s="166"/>
      <c r="EP57" s="166"/>
      <c r="EQ57" s="166"/>
      <c r="ER57" s="166"/>
      <c r="ES57" s="166"/>
      <c r="ET57" s="166"/>
      <c r="EU57" s="166"/>
      <c r="EV57" s="166"/>
      <c r="EW57" s="166"/>
      <c r="EX57" s="166"/>
      <c r="EY57" s="166"/>
      <c r="EZ57" s="166"/>
      <c r="FA57" s="166"/>
      <c r="FB57" s="166"/>
      <c r="FC57" s="166"/>
      <c r="FD57" s="166"/>
      <c r="FE57" s="166"/>
      <c r="FF57" s="166"/>
      <c r="FG57" s="166"/>
      <c r="FH57" s="166"/>
      <c r="FI57" s="166"/>
      <c r="FJ57" s="166"/>
      <c r="FK57" s="166"/>
      <c r="FL57" s="166"/>
      <c r="FM57" s="166"/>
      <c r="FN57" s="166"/>
      <c r="FO57" s="166"/>
      <c r="FP57" s="166"/>
      <c r="FQ57" s="166"/>
      <c r="FR57" s="166"/>
      <c r="FS57" s="166"/>
      <c r="FT57" s="166"/>
      <c r="FU57" s="166"/>
      <c r="FV57" s="166"/>
      <c r="FW57" s="166"/>
      <c r="FX57" s="166"/>
      <c r="FY57" s="166"/>
      <c r="FZ57" s="166"/>
      <c r="GA57" s="166"/>
      <c r="GB57" s="166"/>
      <c r="GC57" s="166"/>
      <c r="GD57" s="166"/>
      <c r="GE57" s="166"/>
      <c r="GF57" s="166"/>
      <c r="GG57" s="166"/>
      <c r="GH57" s="166"/>
      <c r="GI57" s="166"/>
      <c r="GJ57" s="166"/>
      <c r="GK57" s="166"/>
      <c r="GL57" s="166"/>
      <c r="GM57" s="166"/>
      <c r="GN57" s="166"/>
      <c r="GO57" s="166"/>
      <c r="GP57" s="166"/>
      <c r="GQ57" s="166"/>
      <c r="GR57" s="166"/>
      <c r="GS57" s="166"/>
      <c r="GT57" s="166"/>
      <c r="GU57" s="166"/>
      <c r="GV57" s="166"/>
      <c r="GW57" s="166"/>
      <c r="GX57" s="166"/>
      <c r="GY57" s="166"/>
      <c r="GZ57" s="166"/>
      <c r="HA57" s="166"/>
      <c r="HB57" s="166"/>
      <c r="HC57" s="166"/>
      <c r="HD57" s="166"/>
      <c r="HE57" s="166"/>
      <c r="HF57" s="166"/>
      <c r="HG57" s="166"/>
      <c r="HH57" s="166"/>
      <c r="HI57" s="166"/>
      <c r="HJ57" s="166"/>
      <c r="HK57" s="166"/>
      <c r="HL57" s="166"/>
      <c r="HM57" s="166"/>
      <c r="HN57" s="166"/>
      <c r="HO57" s="166"/>
      <c r="HP57" s="166"/>
      <c r="HQ57" s="166"/>
      <c r="HR57" s="166"/>
      <c r="HS57" s="166"/>
      <c r="HT57" s="166"/>
      <c r="HU57" s="166"/>
      <c r="HV57" s="166"/>
      <c r="HW57" s="166"/>
      <c r="HX57" s="166"/>
      <c r="HY57" s="166"/>
      <c r="HZ57" s="166"/>
      <c r="IA57" s="166"/>
      <c r="IB57" s="166"/>
      <c r="IC57" s="166"/>
      <c r="ID57" s="166"/>
      <c r="IE57" s="166"/>
      <c r="IF57" s="166"/>
      <c r="IG57" s="166"/>
      <c r="IH57" s="166"/>
      <c r="II57" s="166"/>
      <c r="IJ57" s="166"/>
      <c r="IK57" s="166"/>
      <c r="IL57" s="166"/>
      <c r="IM57" s="166"/>
    </row>
    <row r="58" spans="1:247">
      <c r="A58" s="233" t="s">
        <v>169</v>
      </c>
      <c r="B58" s="234">
        <v>30</v>
      </c>
      <c r="C58" s="211"/>
      <c r="D58" s="208">
        <f>TARIFFE2020!C58</f>
        <v>1.7456243189224643</v>
      </c>
      <c r="E58" s="209">
        <f>F58*$D$9</f>
        <v>1.75</v>
      </c>
      <c r="F58" s="236">
        <f>CEILING(D58/$D$9,0.01)</f>
        <v>2.5</v>
      </c>
      <c r="G58" s="211"/>
      <c r="H58" s="211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  <c r="CH58" s="166"/>
      <c r="CI58" s="166"/>
      <c r="CJ58" s="166"/>
      <c r="CK58" s="166"/>
      <c r="CL58" s="166"/>
      <c r="CM58" s="166"/>
      <c r="CN58" s="166"/>
      <c r="CO58" s="166"/>
      <c r="CP58" s="166"/>
      <c r="CQ58" s="166"/>
      <c r="CR58" s="166"/>
      <c r="CS58" s="166"/>
      <c r="CT58" s="166"/>
      <c r="CU58" s="166"/>
      <c r="CV58" s="166"/>
      <c r="CW58" s="166"/>
      <c r="CX58" s="166"/>
      <c r="CY58" s="166"/>
      <c r="CZ58" s="166"/>
      <c r="DA58" s="166"/>
      <c r="DB58" s="166"/>
      <c r="DC58" s="166"/>
      <c r="DD58" s="166"/>
      <c r="DE58" s="166"/>
      <c r="DF58" s="166"/>
      <c r="DG58" s="166"/>
      <c r="DH58" s="166"/>
      <c r="DI58" s="166"/>
      <c r="DJ58" s="166"/>
      <c r="DK58" s="166"/>
      <c r="DL58" s="166"/>
      <c r="DM58" s="166"/>
      <c r="DN58" s="166"/>
      <c r="DO58" s="166"/>
      <c r="DP58" s="166"/>
      <c r="DQ58" s="166"/>
      <c r="DR58" s="166"/>
      <c r="DS58" s="166"/>
      <c r="DT58" s="166"/>
      <c r="DU58" s="166"/>
      <c r="DV58" s="166"/>
      <c r="DW58" s="166"/>
      <c r="DX58" s="166"/>
      <c r="DY58" s="166"/>
      <c r="DZ58" s="166"/>
      <c r="EA58" s="166"/>
      <c r="EB58" s="166"/>
      <c r="EC58" s="166"/>
      <c r="ED58" s="166"/>
      <c r="EE58" s="166"/>
      <c r="EF58" s="166"/>
      <c r="EG58" s="166"/>
      <c r="EH58" s="166"/>
      <c r="EI58" s="166"/>
      <c r="EJ58" s="166"/>
      <c r="EK58" s="166"/>
      <c r="EL58" s="166"/>
      <c r="EM58" s="166"/>
      <c r="EN58" s="166"/>
      <c r="EO58" s="166"/>
      <c r="EP58" s="166"/>
      <c r="EQ58" s="166"/>
      <c r="ER58" s="166"/>
      <c r="ES58" s="166"/>
      <c r="ET58" s="166"/>
      <c r="EU58" s="166"/>
      <c r="EV58" s="166"/>
      <c r="EW58" s="166"/>
      <c r="EX58" s="166"/>
      <c r="EY58" s="166"/>
      <c r="EZ58" s="166"/>
      <c r="FA58" s="166"/>
      <c r="FB58" s="166"/>
      <c r="FC58" s="166"/>
      <c r="FD58" s="166"/>
      <c r="FE58" s="166"/>
      <c r="FF58" s="166"/>
      <c r="FG58" s="166"/>
      <c r="FH58" s="166"/>
      <c r="FI58" s="166"/>
      <c r="FJ58" s="166"/>
      <c r="FK58" s="166"/>
      <c r="FL58" s="166"/>
      <c r="FM58" s="166"/>
      <c r="FN58" s="166"/>
      <c r="FO58" s="166"/>
      <c r="FP58" s="166"/>
      <c r="FQ58" s="166"/>
      <c r="FR58" s="166"/>
      <c r="FS58" s="166"/>
      <c r="FT58" s="166"/>
      <c r="FU58" s="166"/>
      <c r="FV58" s="166"/>
      <c r="FW58" s="166"/>
      <c r="FX58" s="166"/>
      <c r="FY58" s="166"/>
      <c r="FZ58" s="166"/>
      <c r="GA58" s="166"/>
      <c r="GB58" s="166"/>
      <c r="GC58" s="166"/>
      <c r="GD58" s="166"/>
      <c r="GE58" s="166"/>
      <c r="GF58" s="166"/>
      <c r="GG58" s="166"/>
      <c r="GH58" s="166"/>
      <c r="GI58" s="166"/>
      <c r="GJ58" s="166"/>
      <c r="GK58" s="166"/>
      <c r="GL58" s="166"/>
      <c r="GM58" s="166"/>
      <c r="GN58" s="166"/>
      <c r="GO58" s="166"/>
      <c r="GP58" s="166"/>
      <c r="GQ58" s="166"/>
      <c r="GR58" s="166"/>
      <c r="GS58" s="166"/>
      <c r="GT58" s="166"/>
      <c r="GU58" s="166"/>
      <c r="GV58" s="166"/>
      <c r="GW58" s="166"/>
      <c r="GX58" s="166"/>
      <c r="GY58" s="166"/>
      <c r="GZ58" s="166"/>
      <c r="HA58" s="166"/>
      <c r="HB58" s="166"/>
      <c r="HC58" s="166"/>
      <c r="HD58" s="166"/>
      <c r="HE58" s="166"/>
      <c r="HF58" s="166"/>
      <c r="HG58" s="166"/>
      <c r="HH58" s="166"/>
      <c r="HI58" s="166"/>
      <c r="HJ58" s="166"/>
      <c r="HK58" s="166"/>
      <c r="HL58" s="166"/>
      <c r="HM58" s="166"/>
      <c r="HN58" s="166"/>
      <c r="HO58" s="166"/>
      <c r="HP58" s="166"/>
      <c r="HQ58" s="166"/>
      <c r="HR58" s="166"/>
      <c r="HS58" s="166"/>
      <c r="HT58" s="166"/>
      <c r="HU58" s="166"/>
      <c r="HV58" s="166"/>
      <c r="HW58" s="166"/>
      <c r="HX58" s="166"/>
      <c r="HY58" s="166"/>
      <c r="HZ58" s="166"/>
      <c r="IA58" s="166"/>
      <c r="IB58" s="166"/>
      <c r="IC58" s="166"/>
      <c r="ID58" s="166"/>
      <c r="IE58" s="166"/>
      <c r="IF58" s="166"/>
      <c r="IG58" s="166"/>
      <c r="IH58" s="166"/>
      <c r="II58" s="166"/>
      <c r="IJ58" s="166"/>
      <c r="IK58" s="166"/>
      <c r="IL58" s="166"/>
      <c r="IM58" s="166"/>
    </row>
    <row r="59" spans="1:247" ht="14.25">
      <c r="A59" s="233" t="s">
        <v>170</v>
      </c>
      <c r="B59" s="234">
        <v>30</v>
      </c>
      <c r="C59" s="237"/>
      <c r="D59" s="208">
        <f>TARIFFE2020!C59</f>
        <v>2.6184364783836966</v>
      </c>
      <c r="E59" s="209">
        <f>F59*$D$9</f>
        <v>2.625</v>
      </c>
      <c r="F59" s="236">
        <f>CEILING(D59/$D$9,0.01)</f>
        <v>3.75</v>
      </c>
      <c r="G59" s="211"/>
      <c r="H59" s="211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/>
      <c r="CF59" s="166"/>
      <c r="CG59" s="166"/>
      <c r="CH59" s="166"/>
      <c r="CI59" s="166"/>
      <c r="CJ59" s="166"/>
      <c r="CK59" s="166"/>
      <c r="CL59" s="166"/>
      <c r="CM59" s="166"/>
      <c r="CN59" s="166"/>
      <c r="CO59" s="166"/>
      <c r="CP59" s="166"/>
      <c r="CQ59" s="166"/>
      <c r="CR59" s="166"/>
      <c r="CS59" s="166"/>
      <c r="CT59" s="166"/>
      <c r="CU59" s="166"/>
      <c r="CV59" s="166"/>
      <c r="CW59" s="166"/>
      <c r="CX59" s="166"/>
      <c r="CY59" s="166"/>
      <c r="CZ59" s="166"/>
      <c r="DA59" s="166"/>
      <c r="DB59" s="166"/>
      <c r="DC59" s="166"/>
      <c r="DD59" s="166"/>
      <c r="DE59" s="166"/>
      <c r="DF59" s="166"/>
      <c r="DG59" s="166"/>
      <c r="DH59" s="166"/>
      <c r="DI59" s="166"/>
      <c r="DJ59" s="166"/>
      <c r="DK59" s="166"/>
      <c r="DL59" s="166"/>
      <c r="DM59" s="166"/>
      <c r="DN59" s="166"/>
      <c r="DO59" s="166"/>
      <c r="DP59" s="166"/>
      <c r="DQ59" s="166"/>
      <c r="DR59" s="166"/>
      <c r="DS59" s="166"/>
      <c r="DT59" s="166"/>
      <c r="DU59" s="166"/>
      <c r="DV59" s="166"/>
      <c r="DW59" s="166"/>
      <c r="DX59" s="166"/>
      <c r="DY59" s="166"/>
      <c r="DZ59" s="166"/>
      <c r="EA59" s="166"/>
      <c r="EB59" s="166"/>
      <c r="EC59" s="166"/>
      <c r="ED59" s="166"/>
      <c r="EE59" s="166"/>
      <c r="EF59" s="166"/>
      <c r="EG59" s="166"/>
      <c r="EH59" s="166"/>
      <c r="EI59" s="166"/>
      <c r="EJ59" s="166"/>
      <c r="EK59" s="166"/>
      <c r="EL59" s="166"/>
      <c r="EM59" s="166"/>
      <c r="EN59" s="166"/>
      <c r="EO59" s="166"/>
      <c r="EP59" s="166"/>
      <c r="EQ59" s="166"/>
      <c r="ER59" s="166"/>
      <c r="ES59" s="166"/>
      <c r="ET59" s="166"/>
      <c r="EU59" s="166"/>
      <c r="EV59" s="166"/>
      <c r="EW59" s="166"/>
      <c r="EX59" s="166"/>
      <c r="EY59" s="166"/>
      <c r="EZ59" s="166"/>
      <c r="FA59" s="166"/>
      <c r="FB59" s="166"/>
      <c r="FC59" s="166"/>
      <c r="FD59" s="166"/>
      <c r="FE59" s="166"/>
      <c r="FF59" s="166"/>
      <c r="FG59" s="166"/>
      <c r="FH59" s="166"/>
      <c r="FI59" s="166"/>
      <c r="FJ59" s="166"/>
      <c r="FK59" s="166"/>
      <c r="FL59" s="166"/>
      <c r="FM59" s="166"/>
      <c r="FN59" s="166"/>
      <c r="FO59" s="166"/>
      <c r="FP59" s="166"/>
      <c r="FQ59" s="166"/>
      <c r="FR59" s="166"/>
      <c r="FS59" s="166"/>
      <c r="FT59" s="166"/>
      <c r="FU59" s="166"/>
      <c r="FV59" s="166"/>
      <c r="FW59" s="166"/>
      <c r="FX59" s="166"/>
      <c r="FY59" s="166"/>
      <c r="FZ59" s="166"/>
      <c r="GA59" s="166"/>
      <c r="GB59" s="166"/>
      <c r="GC59" s="166"/>
      <c r="GD59" s="166"/>
      <c r="GE59" s="166"/>
      <c r="GF59" s="166"/>
      <c r="GG59" s="166"/>
      <c r="GH59" s="166"/>
      <c r="GI59" s="166"/>
      <c r="GJ59" s="166"/>
      <c r="GK59" s="166"/>
      <c r="GL59" s="166"/>
      <c r="GM59" s="166"/>
      <c r="GN59" s="166"/>
      <c r="GO59" s="166"/>
      <c r="GP59" s="166"/>
      <c r="GQ59" s="166"/>
      <c r="GR59" s="166"/>
      <c r="GS59" s="166"/>
      <c r="GT59" s="166"/>
      <c r="GU59" s="166"/>
      <c r="GV59" s="166"/>
      <c r="GW59" s="166"/>
      <c r="GX59" s="166"/>
      <c r="GY59" s="166"/>
      <c r="GZ59" s="166"/>
      <c r="HA59" s="166"/>
      <c r="HB59" s="166"/>
      <c r="HC59" s="166"/>
      <c r="HD59" s="166"/>
      <c r="HE59" s="166"/>
      <c r="HF59" s="166"/>
      <c r="HG59" s="166"/>
      <c r="HH59" s="166"/>
      <c r="HI59" s="166"/>
      <c r="HJ59" s="166"/>
      <c r="HK59" s="166"/>
      <c r="HL59" s="166"/>
      <c r="HM59" s="166"/>
      <c r="HN59" s="166"/>
      <c r="HO59" s="166"/>
      <c r="HP59" s="166"/>
      <c r="HQ59" s="166"/>
      <c r="HR59" s="166"/>
      <c r="HS59" s="166"/>
      <c r="HT59" s="166"/>
      <c r="HU59" s="166"/>
      <c r="HV59" s="166"/>
      <c r="HW59" s="166"/>
      <c r="HX59" s="166"/>
      <c r="HY59" s="166"/>
      <c r="HZ59" s="166"/>
      <c r="IA59" s="166"/>
      <c r="IB59" s="166"/>
      <c r="IC59" s="166"/>
      <c r="ID59" s="166"/>
      <c r="IE59" s="166"/>
      <c r="IF59" s="166"/>
      <c r="IG59" s="166"/>
      <c r="IH59" s="166"/>
      <c r="II59" s="166"/>
      <c r="IJ59" s="166"/>
      <c r="IK59" s="166"/>
      <c r="IL59" s="166"/>
      <c r="IM59" s="166"/>
    </row>
    <row r="60" spans="1:247" ht="15" thickBot="1">
      <c r="A60" s="238" t="s">
        <v>171</v>
      </c>
      <c r="B60" s="239">
        <v>30</v>
      </c>
      <c r="C60" s="240"/>
      <c r="D60" s="241">
        <f>TARIFFE2020!C60</f>
        <v>3.4912486378449286</v>
      </c>
      <c r="E60" s="242">
        <f>F60*$D$9</f>
        <v>3.4929999999999999</v>
      </c>
      <c r="F60" s="243">
        <f>CEILING(D60/$D$9,0.01)</f>
        <v>4.99</v>
      </c>
      <c r="G60" s="211"/>
      <c r="H60" s="211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  <c r="CR60" s="166"/>
      <c r="CS60" s="166"/>
      <c r="CT60" s="166"/>
      <c r="CU60" s="166"/>
      <c r="CV60" s="166"/>
      <c r="CW60" s="166"/>
      <c r="CX60" s="166"/>
      <c r="CY60" s="166"/>
      <c r="CZ60" s="166"/>
      <c r="DA60" s="166"/>
      <c r="DB60" s="166"/>
      <c r="DC60" s="166"/>
      <c r="DD60" s="166"/>
      <c r="DE60" s="166"/>
      <c r="DF60" s="166"/>
      <c r="DG60" s="166"/>
      <c r="DH60" s="166"/>
      <c r="DI60" s="166"/>
      <c r="DJ60" s="166"/>
      <c r="DK60" s="166"/>
      <c r="DL60" s="166"/>
      <c r="DM60" s="166"/>
      <c r="DN60" s="166"/>
      <c r="DO60" s="166"/>
      <c r="DP60" s="166"/>
      <c r="DQ60" s="166"/>
      <c r="DR60" s="166"/>
      <c r="DS60" s="166"/>
      <c r="DT60" s="166"/>
      <c r="DU60" s="166"/>
      <c r="DV60" s="166"/>
      <c r="DW60" s="166"/>
      <c r="DX60" s="166"/>
      <c r="DY60" s="166"/>
      <c r="DZ60" s="166"/>
      <c r="EA60" s="166"/>
      <c r="EB60" s="166"/>
      <c r="EC60" s="166"/>
      <c r="ED60" s="166"/>
      <c r="EE60" s="166"/>
      <c r="EF60" s="166"/>
      <c r="EG60" s="166"/>
      <c r="EH60" s="166"/>
      <c r="EI60" s="166"/>
      <c r="EJ60" s="166"/>
      <c r="EK60" s="166"/>
      <c r="EL60" s="166"/>
      <c r="EM60" s="166"/>
      <c r="EN60" s="166"/>
      <c r="EO60" s="166"/>
      <c r="EP60" s="166"/>
      <c r="EQ60" s="166"/>
      <c r="ER60" s="166"/>
      <c r="ES60" s="166"/>
      <c r="ET60" s="166"/>
      <c r="EU60" s="166"/>
      <c r="EV60" s="166"/>
      <c r="EW60" s="166"/>
      <c r="EX60" s="166"/>
      <c r="EY60" s="166"/>
      <c r="EZ60" s="166"/>
      <c r="FA60" s="166"/>
      <c r="FB60" s="166"/>
      <c r="FC60" s="166"/>
      <c r="FD60" s="166"/>
      <c r="FE60" s="166"/>
      <c r="FF60" s="166"/>
      <c r="FG60" s="166"/>
      <c r="FH60" s="166"/>
      <c r="FI60" s="166"/>
      <c r="FJ60" s="166"/>
      <c r="FK60" s="166"/>
      <c r="FL60" s="166"/>
      <c r="FM60" s="166"/>
      <c r="FN60" s="166"/>
      <c r="FO60" s="166"/>
      <c r="FP60" s="166"/>
      <c r="FQ60" s="166"/>
      <c r="FR60" s="166"/>
      <c r="FS60" s="166"/>
      <c r="FT60" s="166"/>
      <c r="FU60" s="166"/>
      <c r="FV60" s="166"/>
      <c r="FW60" s="166"/>
      <c r="FX60" s="166"/>
      <c r="FY60" s="166"/>
      <c r="FZ60" s="166"/>
      <c r="GA60" s="166"/>
      <c r="GB60" s="166"/>
      <c r="GC60" s="166"/>
      <c r="GD60" s="166"/>
      <c r="GE60" s="166"/>
      <c r="GF60" s="166"/>
      <c r="GG60" s="166"/>
      <c r="GH60" s="166"/>
      <c r="GI60" s="166"/>
      <c r="GJ60" s="166"/>
      <c r="GK60" s="166"/>
      <c r="GL60" s="166"/>
      <c r="GM60" s="166"/>
      <c r="GN60" s="166"/>
      <c r="GO60" s="166"/>
      <c r="GP60" s="166"/>
      <c r="GQ60" s="166"/>
      <c r="GR60" s="166"/>
      <c r="GS60" s="166"/>
      <c r="GT60" s="166"/>
      <c r="GU60" s="166"/>
      <c r="GV60" s="166"/>
      <c r="GW60" s="166"/>
      <c r="GX60" s="166"/>
      <c r="GY60" s="166"/>
      <c r="GZ60" s="166"/>
      <c r="HA60" s="166"/>
      <c r="HB60" s="166"/>
      <c r="HC60" s="166"/>
      <c r="HD60" s="166"/>
      <c r="HE60" s="166"/>
      <c r="HF60" s="166"/>
      <c r="HG60" s="166"/>
      <c r="HH60" s="166"/>
      <c r="HI60" s="166"/>
      <c r="HJ60" s="166"/>
      <c r="HK60" s="166"/>
      <c r="HL60" s="166"/>
      <c r="HM60" s="166"/>
      <c r="HN60" s="166"/>
      <c r="HO60" s="166"/>
      <c r="HP60" s="166"/>
      <c r="HQ60" s="166"/>
      <c r="HR60" s="166"/>
      <c r="HS60" s="166"/>
      <c r="HT60" s="166"/>
      <c r="HU60" s="166"/>
      <c r="HV60" s="166"/>
      <c r="HW60" s="166"/>
      <c r="HX60" s="166"/>
      <c r="HY60" s="166"/>
      <c r="HZ60" s="166"/>
      <c r="IA60" s="166"/>
      <c r="IB60" s="166"/>
      <c r="IC60" s="166"/>
      <c r="ID60" s="166"/>
      <c r="IE60" s="166"/>
      <c r="IF60" s="166"/>
      <c r="IG60" s="166"/>
      <c r="IH60" s="166"/>
      <c r="II60" s="166"/>
      <c r="IJ60" s="166"/>
      <c r="IK60" s="166"/>
      <c r="IL60" s="166"/>
      <c r="IM60" s="166"/>
    </row>
    <row r="61" spans="1:247" s="166" customFormat="1" ht="14.25">
      <c r="A61" s="244"/>
      <c r="B61" s="245"/>
      <c r="C61" s="246"/>
      <c r="D61" s="247"/>
      <c r="E61" s="248"/>
      <c r="F61" s="249"/>
      <c r="G61" s="211"/>
      <c r="H61" s="211"/>
    </row>
    <row r="62" spans="1:247">
      <c r="A62" s="233" t="s">
        <v>172</v>
      </c>
      <c r="B62" s="234">
        <v>60</v>
      </c>
      <c r="C62" s="211"/>
      <c r="D62" s="208">
        <f>TARIFFE2020!D57</f>
        <v>2.6855758752653296</v>
      </c>
      <c r="E62" s="209">
        <f>F62*$D$9</f>
        <v>2.6879999999999997</v>
      </c>
      <c r="F62" s="236">
        <f>CEILING(D62/$D$9,0.01)</f>
        <v>3.84</v>
      </c>
      <c r="G62" s="211"/>
      <c r="H62" s="211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I62" s="166"/>
      <c r="BJ62" s="166"/>
      <c r="BK62" s="166"/>
      <c r="BL62" s="166"/>
      <c r="BM62" s="166"/>
      <c r="BN62" s="166"/>
      <c r="BO62" s="166"/>
      <c r="BP62" s="166"/>
      <c r="BQ62" s="166"/>
      <c r="BR62" s="166"/>
      <c r="BS62" s="166"/>
      <c r="BT62" s="166"/>
      <c r="BU62" s="166"/>
      <c r="BV62" s="166"/>
      <c r="BW62" s="166"/>
      <c r="BX62" s="166"/>
      <c r="BY62" s="166"/>
      <c r="BZ62" s="166"/>
      <c r="CA62" s="166"/>
      <c r="CB62" s="166"/>
      <c r="CC62" s="166"/>
      <c r="CD62" s="166"/>
      <c r="CE62" s="166"/>
      <c r="CF62" s="166"/>
      <c r="CG62" s="166"/>
      <c r="CH62" s="166"/>
      <c r="CI62" s="166"/>
      <c r="CJ62" s="166"/>
      <c r="CK62" s="166"/>
      <c r="CL62" s="166"/>
      <c r="CM62" s="166"/>
      <c r="CN62" s="166"/>
      <c r="CO62" s="166"/>
      <c r="CP62" s="166"/>
      <c r="CQ62" s="166"/>
      <c r="CR62" s="166"/>
      <c r="CS62" s="166"/>
      <c r="CT62" s="166"/>
      <c r="CU62" s="166"/>
      <c r="CV62" s="166"/>
      <c r="CW62" s="166"/>
      <c r="CX62" s="166"/>
      <c r="CY62" s="166"/>
      <c r="CZ62" s="166"/>
      <c r="DA62" s="166"/>
      <c r="DB62" s="166"/>
      <c r="DC62" s="166"/>
      <c r="DD62" s="166"/>
      <c r="DE62" s="166"/>
      <c r="DF62" s="166"/>
      <c r="DG62" s="166"/>
      <c r="DH62" s="166"/>
      <c r="DI62" s="166"/>
      <c r="DJ62" s="166"/>
      <c r="DK62" s="166"/>
      <c r="DL62" s="166"/>
      <c r="DM62" s="166"/>
      <c r="DN62" s="166"/>
      <c r="DO62" s="166"/>
      <c r="DP62" s="166"/>
      <c r="DQ62" s="166"/>
      <c r="DR62" s="166"/>
      <c r="DS62" s="166"/>
      <c r="DT62" s="166"/>
      <c r="DU62" s="166"/>
      <c r="DV62" s="166"/>
      <c r="DW62" s="166"/>
      <c r="DX62" s="166"/>
      <c r="DY62" s="166"/>
      <c r="DZ62" s="166"/>
      <c r="EA62" s="166"/>
      <c r="EB62" s="166"/>
      <c r="EC62" s="166"/>
      <c r="ED62" s="166"/>
      <c r="EE62" s="166"/>
      <c r="EF62" s="166"/>
      <c r="EG62" s="166"/>
      <c r="EH62" s="166"/>
      <c r="EI62" s="166"/>
      <c r="EJ62" s="166"/>
      <c r="EK62" s="166"/>
      <c r="EL62" s="166"/>
      <c r="EM62" s="166"/>
      <c r="EN62" s="166"/>
      <c r="EO62" s="166"/>
      <c r="EP62" s="166"/>
      <c r="EQ62" s="166"/>
      <c r="ER62" s="166"/>
      <c r="ES62" s="166"/>
      <c r="ET62" s="166"/>
      <c r="EU62" s="166"/>
      <c r="EV62" s="166"/>
      <c r="EW62" s="166"/>
      <c r="EX62" s="166"/>
      <c r="EY62" s="166"/>
      <c r="EZ62" s="166"/>
      <c r="FA62" s="166"/>
      <c r="FB62" s="166"/>
      <c r="FC62" s="166"/>
      <c r="FD62" s="166"/>
      <c r="FE62" s="166"/>
      <c r="FF62" s="166"/>
      <c r="FG62" s="166"/>
      <c r="FH62" s="166"/>
      <c r="FI62" s="166"/>
      <c r="FJ62" s="166"/>
      <c r="FK62" s="166"/>
      <c r="FL62" s="166"/>
      <c r="FM62" s="166"/>
      <c r="FN62" s="166"/>
      <c r="FO62" s="166"/>
      <c r="FP62" s="166"/>
      <c r="FQ62" s="166"/>
      <c r="FR62" s="166"/>
      <c r="FS62" s="166"/>
      <c r="FT62" s="166"/>
      <c r="FU62" s="166"/>
      <c r="FV62" s="166"/>
      <c r="FW62" s="166"/>
      <c r="FX62" s="166"/>
      <c r="FY62" s="166"/>
      <c r="FZ62" s="166"/>
      <c r="GA62" s="166"/>
      <c r="GB62" s="166"/>
      <c r="GC62" s="166"/>
      <c r="GD62" s="166"/>
      <c r="GE62" s="166"/>
      <c r="GF62" s="166"/>
      <c r="GG62" s="166"/>
      <c r="GH62" s="166"/>
      <c r="GI62" s="166"/>
      <c r="GJ62" s="166"/>
      <c r="GK62" s="166"/>
      <c r="GL62" s="166"/>
      <c r="GM62" s="166"/>
      <c r="GN62" s="166"/>
      <c r="GO62" s="166"/>
      <c r="GP62" s="166"/>
      <c r="GQ62" s="166"/>
      <c r="GR62" s="166"/>
      <c r="GS62" s="166"/>
      <c r="GT62" s="166"/>
      <c r="GU62" s="166"/>
      <c r="GV62" s="166"/>
      <c r="GW62" s="166"/>
      <c r="GX62" s="166"/>
      <c r="GY62" s="166"/>
      <c r="GZ62" s="166"/>
      <c r="HA62" s="166"/>
      <c r="HB62" s="166"/>
      <c r="HC62" s="166"/>
      <c r="HD62" s="166"/>
      <c r="HE62" s="166"/>
      <c r="HF62" s="166"/>
      <c r="HG62" s="166"/>
      <c r="HH62" s="166"/>
      <c r="HI62" s="166"/>
      <c r="HJ62" s="166"/>
      <c r="HK62" s="166"/>
      <c r="HL62" s="166"/>
      <c r="HM62" s="166"/>
      <c r="HN62" s="166"/>
      <c r="HO62" s="166"/>
      <c r="HP62" s="166"/>
      <c r="HQ62" s="166"/>
      <c r="HR62" s="166"/>
      <c r="HS62" s="166"/>
      <c r="HT62" s="166"/>
      <c r="HU62" s="166"/>
      <c r="HV62" s="166"/>
      <c r="HW62" s="166"/>
      <c r="HX62" s="166"/>
      <c r="HY62" s="166"/>
      <c r="HZ62" s="166"/>
      <c r="IA62" s="166"/>
      <c r="IB62" s="166"/>
      <c r="IC62" s="166"/>
      <c r="ID62" s="166"/>
      <c r="IE62" s="166"/>
      <c r="IF62" s="166"/>
      <c r="IG62" s="166"/>
      <c r="IH62" s="166"/>
      <c r="II62" s="166"/>
      <c r="IJ62" s="166"/>
      <c r="IK62" s="166"/>
      <c r="IL62" s="166"/>
      <c r="IM62" s="166"/>
    </row>
    <row r="63" spans="1:247">
      <c r="A63" s="233" t="s">
        <v>169</v>
      </c>
      <c r="B63" s="234">
        <v>60</v>
      </c>
      <c r="C63" s="211"/>
      <c r="D63" s="208">
        <f>TARIFFE2020!D58</f>
        <v>3.4912486378449286</v>
      </c>
      <c r="E63" s="209">
        <f>F63*$D$9</f>
        <v>3.4929999999999999</v>
      </c>
      <c r="F63" s="236">
        <f>CEILING(D63/$D$9,0.01)</f>
        <v>4.99</v>
      </c>
      <c r="G63" s="211"/>
      <c r="H63" s="211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6"/>
      <c r="CF63" s="166"/>
      <c r="CG63" s="166"/>
      <c r="CH63" s="166"/>
      <c r="CI63" s="166"/>
      <c r="CJ63" s="166"/>
      <c r="CK63" s="166"/>
      <c r="CL63" s="166"/>
      <c r="CM63" s="166"/>
      <c r="CN63" s="166"/>
      <c r="CO63" s="166"/>
      <c r="CP63" s="166"/>
      <c r="CQ63" s="166"/>
      <c r="CR63" s="166"/>
      <c r="CS63" s="166"/>
      <c r="CT63" s="166"/>
      <c r="CU63" s="166"/>
      <c r="CV63" s="166"/>
      <c r="CW63" s="166"/>
      <c r="CX63" s="166"/>
      <c r="CY63" s="166"/>
      <c r="CZ63" s="166"/>
      <c r="DA63" s="166"/>
      <c r="DB63" s="166"/>
      <c r="DC63" s="166"/>
      <c r="DD63" s="166"/>
      <c r="DE63" s="166"/>
      <c r="DF63" s="166"/>
      <c r="DG63" s="166"/>
      <c r="DH63" s="166"/>
      <c r="DI63" s="166"/>
      <c r="DJ63" s="166"/>
      <c r="DK63" s="166"/>
      <c r="DL63" s="166"/>
      <c r="DM63" s="166"/>
      <c r="DN63" s="166"/>
      <c r="DO63" s="166"/>
      <c r="DP63" s="166"/>
      <c r="DQ63" s="166"/>
      <c r="DR63" s="166"/>
      <c r="DS63" s="166"/>
      <c r="DT63" s="166"/>
      <c r="DU63" s="166"/>
      <c r="DV63" s="166"/>
      <c r="DW63" s="166"/>
      <c r="DX63" s="166"/>
      <c r="DY63" s="166"/>
      <c r="DZ63" s="166"/>
      <c r="EA63" s="166"/>
      <c r="EB63" s="166"/>
      <c r="EC63" s="166"/>
      <c r="ED63" s="166"/>
      <c r="EE63" s="166"/>
      <c r="EF63" s="166"/>
      <c r="EG63" s="166"/>
      <c r="EH63" s="166"/>
      <c r="EI63" s="166"/>
      <c r="EJ63" s="166"/>
      <c r="EK63" s="166"/>
      <c r="EL63" s="166"/>
      <c r="EM63" s="166"/>
      <c r="EN63" s="166"/>
      <c r="EO63" s="166"/>
      <c r="EP63" s="166"/>
      <c r="EQ63" s="166"/>
      <c r="ER63" s="166"/>
      <c r="ES63" s="166"/>
      <c r="ET63" s="166"/>
      <c r="EU63" s="166"/>
      <c r="EV63" s="166"/>
      <c r="EW63" s="166"/>
      <c r="EX63" s="166"/>
      <c r="EY63" s="166"/>
      <c r="EZ63" s="166"/>
      <c r="FA63" s="166"/>
      <c r="FB63" s="166"/>
      <c r="FC63" s="166"/>
      <c r="FD63" s="166"/>
      <c r="FE63" s="166"/>
      <c r="FF63" s="166"/>
      <c r="FG63" s="166"/>
      <c r="FH63" s="166"/>
      <c r="FI63" s="166"/>
      <c r="FJ63" s="166"/>
      <c r="FK63" s="166"/>
      <c r="FL63" s="166"/>
      <c r="FM63" s="166"/>
      <c r="FN63" s="166"/>
      <c r="FO63" s="166"/>
      <c r="FP63" s="166"/>
      <c r="FQ63" s="166"/>
      <c r="FR63" s="166"/>
      <c r="FS63" s="166"/>
      <c r="FT63" s="166"/>
      <c r="FU63" s="166"/>
      <c r="FV63" s="166"/>
      <c r="FW63" s="166"/>
      <c r="FX63" s="166"/>
      <c r="FY63" s="166"/>
      <c r="FZ63" s="166"/>
      <c r="GA63" s="166"/>
      <c r="GB63" s="166"/>
      <c r="GC63" s="166"/>
      <c r="GD63" s="166"/>
      <c r="GE63" s="166"/>
      <c r="GF63" s="166"/>
      <c r="GG63" s="166"/>
      <c r="GH63" s="166"/>
      <c r="GI63" s="166"/>
      <c r="GJ63" s="166"/>
      <c r="GK63" s="166"/>
      <c r="GL63" s="166"/>
      <c r="GM63" s="166"/>
      <c r="GN63" s="166"/>
      <c r="GO63" s="166"/>
      <c r="GP63" s="166"/>
      <c r="GQ63" s="166"/>
      <c r="GR63" s="166"/>
      <c r="GS63" s="166"/>
      <c r="GT63" s="166"/>
      <c r="GU63" s="166"/>
      <c r="GV63" s="166"/>
      <c r="GW63" s="166"/>
      <c r="GX63" s="166"/>
      <c r="GY63" s="166"/>
      <c r="GZ63" s="166"/>
      <c r="HA63" s="166"/>
      <c r="HB63" s="166"/>
      <c r="HC63" s="166"/>
      <c r="HD63" s="166"/>
      <c r="HE63" s="166"/>
      <c r="HF63" s="166"/>
      <c r="HG63" s="166"/>
      <c r="HH63" s="166"/>
      <c r="HI63" s="166"/>
      <c r="HJ63" s="166"/>
      <c r="HK63" s="166"/>
      <c r="HL63" s="166"/>
      <c r="HM63" s="166"/>
      <c r="HN63" s="166"/>
      <c r="HO63" s="166"/>
      <c r="HP63" s="166"/>
      <c r="HQ63" s="166"/>
      <c r="HR63" s="166"/>
      <c r="HS63" s="166"/>
      <c r="HT63" s="166"/>
      <c r="HU63" s="166"/>
      <c r="HV63" s="166"/>
      <c r="HW63" s="166"/>
      <c r="HX63" s="166"/>
      <c r="HY63" s="166"/>
      <c r="HZ63" s="166"/>
      <c r="IA63" s="166"/>
      <c r="IB63" s="166"/>
      <c r="IC63" s="166"/>
      <c r="ID63" s="166"/>
      <c r="IE63" s="166"/>
      <c r="IF63" s="166"/>
      <c r="IG63" s="166"/>
      <c r="IH63" s="166"/>
      <c r="II63" s="166"/>
      <c r="IJ63" s="166"/>
      <c r="IK63" s="166"/>
      <c r="IL63" s="166"/>
      <c r="IM63" s="166"/>
    </row>
    <row r="64" spans="1:247" ht="14.25">
      <c r="A64" s="233" t="s">
        <v>170</v>
      </c>
      <c r="B64" s="234">
        <v>60</v>
      </c>
      <c r="C64" s="237"/>
      <c r="D64" s="208">
        <f>TARIFFE2020!D59</f>
        <v>5.2368729567673933</v>
      </c>
      <c r="E64" s="209">
        <f>F64*$D$9</f>
        <v>5.2429999999999994</v>
      </c>
      <c r="F64" s="236">
        <f>CEILING(D64/$D$9,0.01)</f>
        <v>7.49</v>
      </c>
      <c r="G64" s="211"/>
      <c r="H64" s="211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  <c r="CM64" s="166"/>
      <c r="CN64" s="166"/>
      <c r="CO64" s="166"/>
      <c r="CP64" s="166"/>
      <c r="CQ64" s="166"/>
      <c r="CR64" s="166"/>
      <c r="CS64" s="166"/>
      <c r="CT64" s="166"/>
      <c r="CU64" s="166"/>
      <c r="CV64" s="166"/>
      <c r="CW64" s="166"/>
      <c r="CX64" s="166"/>
      <c r="CY64" s="166"/>
      <c r="CZ64" s="166"/>
      <c r="DA64" s="166"/>
      <c r="DB64" s="166"/>
      <c r="DC64" s="166"/>
      <c r="DD64" s="166"/>
      <c r="DE64" s="166"/>
      <c r="DF64" s="166"/>
      <c r="DG64" s="166"/>
      <c r="DH64" s="166"/>
      <c r="DI64" s="166"/>
      <c r="DJ64" s="166"/>
      <c r="DK64" s="166"/>
      <c r="DL64" s="166"/>
      <c r="DM64" s="166"/>
      <c r="DN64" s="166"/>
      <c r="DO64" s="166"/>
      <c r="DP64" s="166"/>
      <c r="DQ64" s="166"/>
      <c r="DR64" s="166"/>
      <c r="DS64" s="166"/>
      <c r="DT64" s="166"/>
      <c r="DU64" s="166"/>
      <c r="DV64" s="166"/>
      <c r="DW64" s="166"/>
      <c r="DX64" s="166"/>
      <c r="DY64" s="166"/>
      <c r="DZ64" s="166"/>
      <c r="EA64" s="166"/>
      <c r="EB64" s="166"/>
      <c r="EC64" s="166"/>
      <c r="ED64" s="166"/>
      <c r="EE64" s="166"/>
      <c r="EF64" s="166"/>
      <c r="EG64" s="166"/>
      <c r="EH64" s="166"/>
      <c r="EI64" s="166"/>
      <c r="EJ64" s="166"/>
      <c r="EK64" s="166"/>
      <c r="EL64" s="166"/>
      <c r="EM64" s="166"/>
      <c r="EN64" s="166"/>
      <c r="EO64" s="166"/>
      <c r="EP64" s="166"/>
      <c r="EQ64" s="166"/>
      <c r="ER64" s="166"/>
      <c r="ES64" s="166"/>
      <c r="ET64" s="166"/>
      <c r="EU64" s="166"/>
      <c r="EV64" s="166"/>
      <c r="EW64" s="166"/>
      <c r="EX64" s="166"/>
      <c r="EY64" s="166"/>
      <c r="EZ64" s="166"/>
      <c r="FA64" s="166"/>
      <c r="FB64" s="166"/>
      <c r="FC64" s="166"/>
      <c r="FD64" s="166"/>
      <c r="FE64" s="166"/>
      <c r="FF64" s="166"/>
      <c r="FG64" s="166"/>
      <c r="FH64" s="166"/>
      <c r="FI64" s="166"/>
      <c r="FJ64" s="166"/>
      <c r="FK64" s="166"/>
      <c r="FL64" s="166"/>
      <c r="FM64" s="166"/>
      <c r="FN64" s="166"/>
      <c r="FO64" s="166"/>
      <c r="FP64" s="166"/>
      <c r="FQ64" s="166"/>
      <c r="FR64" s="166"/>
      <c r="FS64" s="166"/>
      <c r="FT64" s="166"/>
      <c r="FU64" s="166"/>
      <c r="FV64" s="166"/>
      <c r="FW64" s="166"/>
      <c r="FX64" s="166"/>
      <c r="FY64" s="166"/>
      <c r="FZ64" s="166"/>
      <c r="GA64" s="166"/>
      <c r="GB64" s="166"/>
      <c r="GC64" s="166"/>
      <c r="GD64" s="166"/>
      <c r="GE64" s="166"/>
      <c r="GF64" s="166"/>
      <c r="GG64" s="166"/>
      <c r="GH64" s="166"/>
      <c r="GI64" s="166"/>
      <c r="GJ64" s="166"/>
      <c r="GK64" s="166"/>
      <c r="GL64" s="166"/>
      <c r="GM64" s="166"/>
      <c r="GN64" s="166"/>
      <c r="GO64" s="166"/>
      <c r="GP64" s="166"/>
      <c r="GQ64" s="166"/>
      <c r="GR64" s="166"/>
      <c r="GS64" s="166"/>
      <c r="GT64" s="166"/>
      <c r="GU64" s="166"/>
      <c r="GV64" s="166"/>
      <c r="GW64" s="166"/>
      <c r="GX64" s="166"/>
      <c r="GY64" s="166"/>
      <c r="GZ64" s="166"/>
      <c r="HA64" s="166"/>
      <c r="HB64" s="166"/>
      <c r="HC64" s="166"/>
      <c r="HD64" s="166"/>
      <c r="HE64" s="166"/>
      <c r="HF64" s="166"/>
      <c r="HG64" s="166"/>
      <c r="HH64" s="166"/>
      <c r="HI64" s="166"/>
      <c r="HJ64" s="166"/>
      <c r="HK64" s="166"/>
      <c r="HL64" s="166"/>
      <c r="HM64" s="166"/>
      <c r="HN64" s="166"/>
      <c r="HO64" s="166"/>
      <c r="HP64" s="166"/>
      <c r="HQ64" s="166"/>
      <c r="HR64" s="166"/>
      <c r="HS64" s="166"/>
      <c r="HT64" s="166"/>
      <c r="HU64" s="166"/>
      <c r="HV64" s="166"/>
      <c r="HW64" s="166"/>
      <c r="HX64" s="166"/>
      <c r="HY64" s="166"/>
      <c r="HZ64" s="166"/>
      <c r="IA64" s="166"/>
      <c r="IB64" s="166"/>
      <c r="IC64" s="166"/>
      <c r="ID64" s="166"/>
      <c r="IE64" s="166"/>
      <c r="IF64" s="166"/>
      <c r="IG64" s="166"/>
      <c r="IH64" s="166"/>
      <c r="II64" s="166"/>
      <c r="IJ64" s="166"/>
      <c r="IK64" s="166"/>
      <c r="IL64" s="166"/>
      <c r="IM64" s="166"/>
    </row>
    <row r="65" spans="1:8" ht="15" thickBot="1">
      <c r="A65" s="238" t="s">
        <v>171</v>
      </c>
      <c r="B65" s="239">
        <v>60</v>
      </c>
      <c r="C65" s="240"/>
      <c r="D65" s="241">
        <f>TARIFFE2020!D60</f>
        <v>6.9824972756898571</v>
      </c>
      <c r="E65" s="242">
        <f>F65*$D$9</f>
        <v>6.9859999999999998</v>
      </c>
      <c r="F65" s="243">
        <f>CEILING(D65/$D$9,0.01)</f>
        <v>9.98</v>
      </c>
      <c r="G65" s="211"/>
      <c r="H65" s="211"/>
    </row>
    <row r="66" spans="1:8" ht="14.25">
      <c r="A66" s="237"/>
      <c r="B66" s="237"/>
      <c r="C66" s="237"/>
      <c r="D66" s="250"/>
      <c r="E66" s="250"/>
      <c r="F66" s="250"/>
      <c r="G66" s="211"/>
      <c r="H66" s="211"/>
    </row>
    <row r="67" spans="1:8" s="166" customFormat="1">
      <c r="A67" s="233" t="s">
        <v>173</v>
      </c>
      <c r="B67" s="234">
        <v>90</v>
      </c>
      <c r="C67" s="211"/>
      <c r="D67" s="208">
        <f>TARIFFE2020!E57</f>
        <v>4.0283638128979948</v>
      </c>
      <c r="E67" s="209">
        <f>F67*$D$9</f>
        <v>4.032</v>
      </c>
      <c r="F67" s="236">
        <f>CEILING(D67/$D$9,0.01)</f>
        <v>5.76</v>
      </c>
      <c r="G67" s="211"/>
      <c r="H67" s="211"/>
    </row>
    <row r="68" spans="1:8">
      <c r="A68" s="233" t="s">
        <v>169</v>
      </c>
      <c r="B68" s="234">
        <v>90</v>
      </c>
      <c r="C68" s="211"/>
      <c r="D68" s="208">
        <f>TARIFFE2020!E58</f>
        <v>5.2368729567673924</v>
      </c>
      <c r="E68" s="209">
        <f>F68*$D$9</f>
        <v>5.2429999999999994</v>
      </c>
      <c r="F68" s="236">
        <f>CEILING(D68/$D$9,0.01)</f>
        <v>7.49</v>
      </c>
      <c r="G68" s="211"/>
      <c r="H68" s="211"/>
    </row>
    <row r="69" spans="1:8" ht="14.25">
      <c r="A69" s="233" t="s">
        <v>170</v>
      </c>
      <c r="B69" s="234">
        <v>90</v>
      </c>
      <c r="C69" s="237"/>
      <c r="D69" s="208">
        <v>9.06</v>
      </c>
      <c r="E69" s="209">
        <v>9.06</v>
      </c>
      <c r="F69" s="236">
        <f>CEILING(D69/$D$9,0.01)</f>
        <v>12.950000000000001</v>
      </c>
      <c r="G69" s="211"/>
      <c r="H69" s="211"/>
    </row>
    <row r="70" spans="1:8" ht="15" thickBot="1">
      <c r="A70" s="238" t="s">
        <v>171</v>
      </c>
      <c r="B70" s="239">
        <v>90</v>
      </c>
      <c r="C70" s="240"/>
      <c r="D70" s="241">
        <v>12.09</v>
      </c>
      <c r="E70" s="242">
        <v>12.09</v>
      </c>
      <c r="F70" s="243">
        <f>CEILING(D70/$D$9,0.01)</f>
        <v>17.28</v>
      </c>
      <c r="G70" s="211"/>
      <c r="H70" s="211"/>
    </row>
    <row r="71" spans="1:8" s="166" customFormat="1" ht="14.25">
      <c r="A71" s="251"/>
      <c r="B71" s="252"/>
      <c r="C71" s="237"/>
      <c r="D71" s="247"/>
      <c r="E71" s="253"/>
      <c r="F71" s="254"/>
      <c r="G71" s="211"/>
      <c r="H71" s="211"/>
    </row>
    <row r="72" spans="1:8" ht="14.25">
      <c r="A72" s="237"/>
      <c r="B72" s="237"/>
      <c r="C72" s="237"/>
      <c r="D72" s="250"/>
      <c r="E72" s="250"/>
      <c r="F72" s="250"/>
      <c r="G72" s="211"/>
      <c r="H72" s="211"/>
    </row>
    <row r="73" spans="1:8" ht="22.5">
      <c r="A73" s="296" t="s">
        <v>174</v>
      </c>
      <c r="B73" s="296"/>
      <c r="C73" s="296"/>
      <c r="D73" s="296"/>
      <c r="E73" s="296"/>
      <c r="F73" s="296"/>
      <c r="G73" s="211"/>
      <c r="H73" s="211"/>
    </row>
    <row r="74" spans="1:8">
      <c r="A74" s="211"/>
      <c r="B74" s="211"/>
      <c r="C74" s="211"/>
      <c r="D74" s="204"/>
      <c r="E74" s="204"/>
      <c r="F74" s="204"/>
      <c r="G74" s="211"/>
      <c r="H74" s="211"/>
    </row>
    <row r="75" spans="1:8">
      <c r="A75" s="233" t="s">
        <v>175</v>
      </c>
      <c r="B75" s="234">
        <v>30</v>
      </c>
      <c r="C75" s="211"/>
      <c r="D75" s="208">
        <f>TARIFFE2020!C61</f>
        <v>2.6855758752653296</v>
      </c>
      <c r="E75" s="209">
        <f>F75*$D$9</f>
        <v>2.6879999999999997</v>
      </c>
      <c r="F75" s="236">
        <f>CEILING(D75/$D$9,0.01)</f>
        <v>3.84</v>
      </c>
      <c r="G75" s="211"/>
      <c r="H75" s="211"/>
    </row>
    <row r="76" spans="1:8">
      <c r="A76" s="233" t="s">
        <v>169</v>
      </c>
      <c r="B76" s="234">
        <v>30</v>
      </c>
      <c r="C76" s="211"/>
      <c r="D76" s="208">
        <f>TARIFFE2020!C62</f>
        <v>3.4912486378449286</v>
      </c>
      <c r="E76" s="209">
        <f>F76*$D$9</f>
        <v>3.4929999999999999</v>
      </c>
      <c r="F76" s="236">
        <f>CEILING(D76/$D$9,0.01)</f>
        <v>4.99</v>
      </c>
      <c r="G76" s="211"/>
      <c r="H76" s="211"/>
    </row>
    <row r="77" spans="1:8" s="166" customFormat="1" ht="14.25">
      <c r="A77" s="233" t="s">
        <v>170</v>
      </c>
      <c r="B77" s="234">
        <v>30</v>
      </c>
      <c r="C77" s="237"/>
      <c r="D77" s="208">
        <f>TARIFFE2020!C63</f>
        <v>4.3640607973061609</v>
      </c>
      <c r="E77" s="209">
        <f>F77*$D$9</f>
        <v>4.3679999999999994</v>
      </c>
      <c r="F77" s="236">
        <f>CEILING(D77/$D$9,0.01)</f>
        <v>6.24</v>
      </c>
      <c r="G77" s="211"/>
      <c r="H77" s="211"/>
    </row>
    <row r="78" spans="1:8" ht="15" thickBot="1">
      <c r="A78" s="238" t="s">
        <v>171</v>
      </c>
      <c r="B78" s="239">
        <v>30</v>
      </c>
      <c r="C78" s="240"/>
      <c r="D78" s="241">
        <f>TARIFFE2020!C64</f>
        <v>5.2368729567673933</v>
      </c>
      <c r="E78" s="242">
        <f>F78*$D$9</f>
        <v>5.2429999999999994</v>
      </c>
      <c r="F78" s="243">
        <f>CEILING(D78/$D$9,0.01)</f>
        <v>7.49</v>
      </c>
      <c r="G78" s="211"/>
      <c r="H78" s="211"/>
    </row>
    <row r="79" spans="1:8" ht="14.25">
      <c r="A79" s="251"/>
      <c r="B79" s="252"/>
      <c r="C79" s="237"/>
      <c r="D79" s="247"/>
      <c r="E79" s="253"/>
      <c r="F79" s="254"/>
      <c r="G79" s="211"/>
      <c r="H79" s="211"/>
    </row>
    <row r="80" spans="1:8">
      <c r="A80" s="233" t="s">
        <v>176</v>
      </c>
      <c r="B80" s="234">
        <v>60</v>
      </c>
      <c r="C80" s="211"/>
      <c r="D80" s="208">
        <f>5.37</f>
        <v>5.37</v>
      </c>
      <c r="E80" s="209">
        <f>F80*$D$9</f>
        <v>5.3759999999999994</v>
      </c>
      <c r="F80" s="236">
        <f>CEILING(D80/$D$9,0.01)</f>
        <v>7.68</v>
      </c>
      <c r="G80" s="211"/>
      <c r="H80" s="211"/>
    </row>
    <row r="81" spans="1:8">
      <c r="A81" s="233" t="s">
        <v>169</v>
      </c>
      <c r="B81" s="234">
        <v>60</v>
      </c>
      <c r="C81" s="211"/>
      <c r="D81" s="208">
        <f>8.06</f>
        <v>8.06</v>
      </c>
      <c r="E81" s="209">
        <f>F81*$D$9</f>
        <v>8.0640000000000001</v>
      </c>
      <c r="F81" s="236">
        <f>CEILING(D81/$D$9,0.01)</f>
        <v>11.52</v>
      </c>
      <c r="G81" s="211"/>
      <c r="H81" s="211"/>
    </row>
    <row r="82" spans="1:8" s="166" customFormat="1" ht="14.25">
      <c r="A82" s="233" t="s">
        <v>170</v>
      </c>
      <c r="B82" s="234">
        <v>60</v>
      </c>
      <c r="C82" s="237"/>
      <c r="D82" s="208">
        <f>10.07</f>
        <v>10.07</v>
      </c>
      <c r="E82" s="209">
        <f>F82*$D$9</f>
        <v>10.073</v>
      </c>
      <c r="F82" s="236">
        <f>CEILING(D82/$D$9,0.01)</f>
        <v>14.39</v>
      </c>
      <c r="G82" s="211"/>
      <c r="H82" s="211"/>
    </row>
    <row r="83" spans="1:8" ht="15" thickBot="1">
      <c r="A83" s="238" t="s">
        <v>171</v>
      </c>
      <c r="B83" s="239">
        <v>60</v>
      </c>
      <c r="C83" s="240"/>
      <c r="D83" s="241">
        <f>12.09</f>
        <v>12.09</v>
      </c>
      <c r="E83" s="242">
        <f>F83*$D$9</f>
        <v>12.096</v>
      </c>
      <c r="F83" s="243">
        <f>CEILING(D83/$D$9,0.01)</f>
        <v>17.28</v>
      </c>
      <c r="G83" s="211"/>
      <c r="H83" s="211"/>
    </row>
    <row r="84" spans="1:8" ht="14.25">
      <c r="A84" s="251"/>
      <c r="B84" s="252"/>
      <c r="C84" s="237"/>
      <c r="D84" s="247"/>
      <c r="E84" s="253"/>
      <c r="F84" s="254"/>
      <c r="G84" s="211"/>
      <c r="H84" s="211"/>
    </row>
    <row r="85" spans="1:8">
      <c r="A85" s="233" t="s">
        <v>175</v>
      </c>
      <c r="B85" s="234">
        <v>90</v>
      </c>
      <c r="C85" s="211"/>
      <c r="D85" s="208">
        <f>TARIFFE2020!E61</f>
        <v>8.0567276257959897</v>
      </c>
      <c r="E85" s="209">
        <f>F85*$D$9</f>
        <v>8.0569999999999986</v>
      </c>
      <c r="F85" s="236">
        <f>CEILING(D85/$D$9,0.01)</f>
        <v>11.51</v>
      </c>
      <c r="G85" s="211"/>
      <c r="H85" s="211"/>
    </row>
    <row r="86" spans="1:8">
      <c r="A86" s="233" t="s">
        <v>169</v>
      </c>
      <c r="B86" s="234">
        <v>90</v>
      </c>
      <c r="C86" s="211"/>
      <c r="D86" s="208">
        <f>TARIFFE2020!E62</f>
        <v>10.473745913534785</v>
      </c>
      <c r="E86" s="209">
        <f>F86*$D$9</f>
        <v>10.478999999999999</v>
      </c>
      <c r="F86" s="236">
        <f>CEILING(D86/$D$9,0.01)</f>
        <v>14.97</v>
      </c>
      <c r="G86" s="211"/>
      <c r="H86" s="211"/>
    </row>
    <row r="87" spans="1:8" s="166" customFormat="1" ht="14.25">
      <c r="A87" s="233" t="s">
        <v>170</v>
      </c>
      <c r="B87" s="234">
        <v>90</v>
      </c>
      <c r="C87" s="237"/>
      <c r="D87" s="208">
        <f>TARIFFE2020!E63</f>
        <v>13.092182391918483</v>
      </c>
      <c r="E87" s="209">
        <f>F87*$D$9</f>
        <v>13.097</v>
      </c>
      <c r="F87" s="236">
        <f>CEILING(D87/$D$9,0.01)</f>
        <v>18.71</v>
      </c>
      <c r="G87" s="211"/>
      <c r="H87" s="211"/>
    </row>
    <row r="88" spans="1:8" s="166" customFormat="1" ht="15" thickBot="1">
      <c r="A88" s="238" t="s">
        <v>171</v>
      </c>
      <c r="B88" s="239">
        <v>90</v>
      </c>
      <c r="C88" s="240"/>
      <c r="D88" s="241">
        <f>TARIFFE2020!E64</f>
        <v>15.710618870302181</v>
      </c>
      <c r="E88" s="242">
        <f>F88*$D$9</f>
        <v>15.714999999999998</v>
      </c>
      <c r="F88" s="243">
        <f>CEILING(D88/$D$9,0.01)</f>
        <v>22.45</v>
      </c>
      <c r="G88" s="211"/>
      <c r="H88" s="211"/>
    </row>
    <row r="89" spans="1:8" s="166" customFormat="1" ht="14.25">
      <c r="A89" s="237"/>
      <c r="B89" s="237"/>
      <c r="C89" s="237"/>
      <c r="D89" s="250"/>
      <c r="E89" s="250"/>
      <c r="F89" s="250"/>
      <c r="G89" s="211"/>
      <c r="H89" s="211"/>
    </row>
    <row r="90" spans="1:8" ht="15">
      <c r="A90" s="255"/>
      <c r="B90" s="237"/>
      <c r="C90" s="237"/>
      <c r="D90" s="250"/>
      <c r="E90" s="250"/>
      <c r="F90" s="250"/>
      <c r="G90" s="211"/>
      <c r="H90" s="211"/>
    </row>
    <row r="91" spans="1:8">
      <c r="A91" s="291" t="s">
        <v>177</v>
      </c>
      <c r="B91" s="291"/>
      <c r="C91" s="291"/>
      <c r="D91" s="291"/>
      <c r="E91" s="291"/>
      <c r="F91" s="291"/>
      <c r="G91" s="291"/>
      <c r="H91" s="291"/>
    </row>
    <row r="92" spans="1:8">
      <c r="A92" s="291"/>
      <c r="B92" s="291"/>
      <c r="C92" s="291"/>
      <c r="D92" s="291"/>
      <c r="E92" s="291"/>
      <c r="F92" s="291"/>
      <c r="G92" s="291"/>
      <c r="H92" s="291"/>
    </row>
    <row r="93" spans="1:8">
      <c r="A93" s="291"/>
      <c r="B93" s="291"/>
      <c r="C93" s="291"/>
      <c r="D93" s="291"/>
      <c r="E93" s="291"/>
      <c r="F93" s="291"/>
      <c r="G93" s="291"/>
      <c r="H93" s="291"/>
    </row>
    <row r="94" spans="1:8" ht="15.75">
      <c r="A94" s="256"/>
      <c r="B94" s="237"/>
      <c r="C94" s="237"/>
      <c r="D94" s="250"/>
      <c r="E94" s="250"/>
      <c r="F94" s="250"/>
      <c r="G94" s="250"/>
      <c r="H94" s="250"/>
    </row>
    <row r="95" spans="1:8" ht="14.25">
      <c r="A95" s="257" t="s">
        <v>178</v>
      </c>
      <c r="B95" s="258"/>
      <c r="C95" s="258"/>
      <c r="D95" s="259">
        <v>0.7</v>
      </c>
      <c r="E95" s="250"/>
      <c r="F95" s="250"/>
      <c r="G95" s="250"/>
      <c r="H95" s="250"/>
    </row>
    <row r="96" spans="1:8" ht="14.25">
      <c r="A96" s="237"/>
      <c r="B96" s="237"/>
      <c r="C96" s="260"/>
      <c r="D96" s="250"/>
      <c r="E96" s="261"/>
      <c r="F96" s="261"/>
      <c r="G96" s="262"/>
      <c r="H96" s="250"/>
    </row>
    <row r="97" spans="1:8" ht="14.25">
      <c r="A97" s="237" t="s">
        <v>179</v>
      </c>
      <c r="B97" s="237"/>
      <c r="C97" s="237"/>
      <c r="D97" s="263">
        <v>10</v>
      </c>
      <c r="E97" s="263">
        <v>15</v>
      </c>
      <c r="F97" s="263">
        <v>20</v>
      </c>
      <c r="G97" s="263">
        <v>25</v>
      </c>
      <c r="H97" s="263">
        <v>30</v>
      </c>
    </row>
    <row r="98" spans="1:8" ht="14.25">
      <c r="A98" s="292" t="s">
        <v>180</v>
      </c>
      <c r="B98" s="292"/>
      <c r="C98" s="293"/>
      <c r="D98" s="264"/>
      <c r="E98" s="264"/>
      <c r="F98" s="264"/>
      <c r="G98" s="264"/>
      <c r="H98" s="264"/>
    </row>
    <row r="99" spans="1:8" s="166" customFormat="1" ht="14.25">
      <c r="A99" s="273" t="s">
        <v>181</v>
      </c>
      <c r="B99" s="273"/>
      <c r="C99" s="265"/>
      <c r="D99" s="271">
        <f>1.14/$D$9</f>
        <v>1.6285714285714286</v>
      </c>
      <c r="E99" s="271">
        <f>1.48/$D$9</f>
        <v>2.1142857142857143</v>
      </c>
      <c r="F99" s="271">
        <f>1.82/$D$9</f>
        <v>2.6</v>
      </c>
      <c r="G99" s="271">
        <f>2.16/$D$9</f>
        <v>3.0857142857142863</v>
      </c>
      <c r="H99" s="271">
        <f>2.5/$D$9</f>
        <v>3.5714285714285716</v>
      </c>
    </row>
    <row r="100" spans="1:8" ht="14.25">
      <c r="A100" s="237"/>
      <c r="B100" s="266"/>
      <c r="C100" s="237"/>
      <c r="D100" s="267">
        <f>D99*D95</f>
        <v>1.1399999999999999</v>
      </c>
      <c r="E100" s="267">
        <v>1.48</v>
      </c>
      <c r="F100" s="267">
        <v>1.82</v>
      </c>
      <c r="G100" s="267">
        <v>2.16</v>
      </c>
      <c r="H100" s="267">
        <v>2.5</v>
      </c>
    </row>
    <row r="101" spans="1:8" s="166" customFormat="1" ht="14.25">
      <c r="A101" s="250" t="s">
        <v>182</v>
      </c>
      <c r="B101" s="266"/>
      <c r="C101" s="237"/>
      <c r="D101" s="264"/>
      <c r="E101" s="264"/>
      <c r="F101" s="264"/>
      <c r="G101" s="264"/>
      <c r="H101" s="264"/>
    </row>
    <row r="102" spans="1:8" s="166" customFormat="1" ht="14.25">
      <c r="A102" s="268" t="s">
        <v>181</v>
      </c>
      <c r="B102" s="266"/>
      <c r="C102" s="237"/>
      <c r="D102" s="271">
        <f>1.7/$D$9</f>
        <v>2.4285714285714288</v>
      </c>
      <c r="E102" s="271">
        <f>2.22/$D$9</f>
        <v>3.1714285714285717</v>
      </c>
      <c r="F102" s="271">
        <f>2.7/$D$9</f>
        <v>3.8571428571428577</v>
      </c>
      <c r="G102" s="271">
        <f>3.24/$D$9</f>
        <v>4.628571428571429</v>
      </c>
      <c r="H102" s="271">
        <f>3.75/$D$9</f>
        <v>5.3571428571428577</v>
      </c>
    </row>
    <row r="103" spans="1:8" s="166" customFormat="1" ht="14.25">
      <c r="A103" s="237"/>
      <c r="B103" s="266"/>
      <c r="C103" s="237"/>
      <c r="D103" s="267">
        <f>D102*D95</f>
        <v>1.7000000000000002</v>
      </c>
      <c r="E103" s="267">
        <f>E102*D95</f>
        <v>2.2200000000000002</v>
      </c>
      <c r="F103" s="267">
        <f>F102*D95</f>
        <v>2.7</v>
      </c>
      <c r="G103" s="267">
        <f>G102*D95</f>
        <v>3.24</v>
      </c>
      <c r="H103" s="267">
        <f>H102*D95</f>
        <v>3.75</v>
      </c>
    </row>
    <row r="104" spans="1:8" s="166" customFormat="1" ht="14.25">
      <c r="A104" s="237"/>
      <c r="B104" s="266"/>
      <c r="C104" s="237"/>
      <c r="D104" s="269"/>
      <c r="E104" s="269"/>
      <c r="F104" s="269"/>
      <c r="G104" s="269"/>
      <c r="H104" s="269"/>
    </row>
    <row r="105" spans="1:8" ht="14.25">
      <c r="A105" s="237"/>
      <c r="B105" s="237"/>
      <c r="C105" s="260"/>
      <c r="D105" s="250"/>
      <c r="E105" s="270"/>
      <c r="F105" s="270"/>
      <c r="G105" s="262"/>
      <c r="H105" s="250"/>
    </row>
    <row r="106" spans="1:8" ht="14.25">
      <c r="A106" s="237" t="s">
        <v>183</v>
      </c>
      <c r="B106" s="237"/>
      <c r="C106" s="237"/>
      <c r="D106" s="250"/>
      <c r="E106" s="250"/>
      <c r="F106" s="250"/>
      <c r="G106" s="250" t="s">
        <v>184</v>
      </c>
      <c r="H106" s="250">
        <v>1</v>
      </c>
    </row>
    <row r="107" spans="1:8" ht="14.25">
      <c r="A107" s="237" t="s">
        <v>185</v>
      </c>
      <c r="B107" s="237"/>
      <c r="C107" s="237"/>
      <c r="D107" s="250"/>
      <c r="E107" s="250"/>
      <c r="F107" s="250"/>
      <c r="G107" s="250" t="s">
        <v>184</v>
      </c>
      <c r="H107" s="250">
        <v>2</v>
      </c>
    </row>
    <row r="108" spans="1:8" ht="14.25">
      <c r="A108" s="237" t="s">
        <v>186</v>
      </c>
      <c r="B108" s="237"/>
      <c r="C108" s="237"/>
      <c r="D108" s="250"/>
      <c r="E108" s="250"/>
      <c r="F108" s="250"/>
      <c r="G108" s="250" t="s">
        <v>184</v>
      </c>
      <c r="H108" s="250">
        <v>4</v>
      </c>
    </row>
    <row r="109" spans="1:8" ht="14.25">
      <c r="A109" s="237" t="s">
        <v>187</v>
      </c>
      <c r="B109" s="237"/>
      <c r="C109" s="237"/>
      <c r="D109" s="250"/>
      <c r="E109" s="250"/>
      <c r="F109" s="250"/>
      <c r="G109" s="250" t="s">
        <v>184</v>
      </c>
      <c r="H109" s="250">
        <v>24</v>
      </c>
    </row>
    <row r="110" spans="1:8" ht="14.25">
      <c r="A110" s="237"/>
      <c r="B110" s="237"/>
      <c r="C110" s="237"/>
      <c r="D110" s="250"/>
      <c r="E110" s="250"/>
      <c r="F110" s="250"/>
      <c r="G110" s="250"/>
      <c r="H110" s="250"/>
    </row>
    <row r="111" spans="1:8" ht="14.25">
      <c r="A111" s="237" t="s">
        <v>188</v>
      </c>
      <c r="B111" s="237"/>
      <c r="C111" s="237"/>
      <c r="D111" s="250"/>
      <c r="E111" s="250"/>
      <c r="F111" s="250"/>
      <c r="G111" s="250"/>
      <c r="H111" s="250"/>
    </row>
    <row r="112" spans="1:8" ht="14.25">
      <c r="A112" s="237" t="s">
        <v>189</v>
      </c>
      <c r="B112" s="237"/>
      <c r="C112" s="237"/>
      <c r="D112" s="250"/>
      <c r="E112" s="250"/>
      <c r="F112" s="250"/>
      <c r="G112" s="250"/>
      <c r="H112" s="250"/>
    </row>
    <row r="113" spans="1:8" ht="14.25">
      <c r="A113" s="237" t="s">
        <v>190</v>
      </c>
      <c r="B113" s="237"/>
      <c r="C113" s="237"/>
      <c r="D113" s="250"/>
      <c r="E113" s="250"/>
      <c r="F113" s="250"/>
      <c r="G113" s="250"/>
      <c r="H113" s="250"/>
    </row>
    <row r="114" spans="1:8" ht="14.25">
      <c r="A114" s="237" t="s">
        <v>191</v>
      </c>
      <c r="B114" s="237"/>
      <c r="C114" s="237"/>
      <c r="D114" s="250"/>
      <c r="E114" s="250"/>
      <c r="F114" s="250"/>
      <c r="G114" s="250"/>
      <c r="H114" s="250"/>
    </row>
    <row r="115" spans="1:8" ht="14.25">
      <c r="A115" s="237"/>
      <c r="B115" s="237"/>
      <c r="C115" s="237"/>
      <c r="D115" s="250"/>
      <c r="E115" s="250"/>
      <c r="F115" s="250"/>
      <c r="G115" s="250"/>
      <c r="H115" s="250"/>
    </row>
    <row r="116" spans="1:8" ht="14.25">
      <c r="A116" s="237" t="s">
        <v>192</v>
      </c>
      <c r="B116" s="237"/>
      <c r="C116" s="237"/>
      <c r="D116" s="250"/>
      <c r="E116" s="250"/>
      <c r="F116" s="250"/>
      <c r="G116" s="250"/>
      <c r="H116" s="250"/>
    </row>
    <row r="117" spans="1:8" ht="14.25">
      <c r="A117" s="237" t="s">
        <v>193</v>
      </c>
      <c r="B117" s="237"/>
      <c r="C117" s="237"/>
      <c r="D117" s="250"/>
      <c r="E117" s="250"/>
      <c r="F117" s="250"/>
      <c r="G117" s="250"/>
      <c r="H117" s="250"/>
    </row>
    <row r="118" spans="1:8" ht="14.25">
      <c r="A118" s="237" t="s">
        <v>194</v>
      </c>
      <c r="B118" s="237"/>
      <c r="C118" s="237"/>
      <c r="D118" s="250"/>
      <c r="E118" s="250"/>
      <c r="F118" s="250"/>
      <c r="G118" s="250"/>
      <c r="H118" s="250"/>
    </row>
    <row r="119" spans="1:8" ht="14.25">
      <c r="A119" s="237" t="s">
        <v>195</v>
      </c>
      <c r="B119" s="237"/>
      <c r="C119" s="237"/>
      <c r="D119" s="250"/>
      <c r="E119" s="250"/>
      <c r="F119" s="250"/>
      <c r="G119" s="250"/>
      <c r="H119" s="250"/>
    </row>
  </sheetData>
  <mergeCells count="10">
    <mergeCell ref="A91:H93"/>
    <mergeCell ref="A98:C98"/>
    <mergeCell ref="A10:A11"/>
    <mergeCell ref="A55:F55"/>
    <mergeCell ref="A44:D44"/>
    <mergeCell ref="A14:F14"/>
    <mergeCell ref="A73:F73"/>
    <mergeCell ref="A19:F19"/>
    <mergeCell ref="A24:F24"/>
    <mergeCell ref="A56:F56"/>
  </mergeCells>
  <pageMargins left="0.7" right="0.7" top="0.75" bottom="0.75" header="0.3" footer="0.3"/>
  <pageSetup paperSize="8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4"/>
  <sheetViews>
    <sheetView workbookViewId="0"/>
  </sheetViews>
  <sheetFormatPr defaultColWidth="7.25" defaultRowHeight="14.25" customHeight="1"/>
  <cols>
    <col min="1" max="1" width="39.5" style="2" customWidth="1"/>
    <col min="2" max="2" width="17.75" style="2" customWidth="1"/>
    <col min="3" max="3" width="15.125" style="2" customWidth="1"/>
    <col min="4" max="16384" width="7.25" style="2"/>
  </cols>
  <sheetData>
    <row r="1" spans="1:3" ht="36.75" customHeight="1">
      <c r="A1" s="5" t="s">
        <v>196</v>
      </c>
      <c r="B1" s="6" t="s">
        <v>197</v>
      </c>
      <c r="C1" s="7" t="s">
        <v>198</v>
      </c>
    </row>
    <row r="2" spans="1:3" ht="15" customHeight="1">
      <c r="A2" s="302" t="s">
        <v>199</v>
      </c>
      <c r="B2" s="302"/>
      <c r="C2" s="302"/>
    </row>
    <row r="3" spans="1:3" ht="14.25" customHeight="1">
      <c r="A3" s="3" t="s">
        <v>200</v>
      </c>
      <c r="B3" s="8">
        <v>-21.07</v>
      </c>
      <c r="C3" s="9">
        <v>-21.07</v>
      </c>
    </row>
    <row r="4" spans="1:3" ht="14.25" customHeight="1">
      <c r="A4" s="3" t="s">
        <v>201</v>
      </c>
      <c r="B4" s="10">
        <v>25.46</v>
      </c>
      <c r="C4" s="11">
        <v>24.58</v>
      </c>
    </row>
    <row r="5" spans="1:3" ht="14.25" customHeight="1">
      <c r="A5" s="3" t="s">
        <v>202</v>
      </c>
      <c r="B5" s="10">
        <v>38.19</v>
      </c>
      <c r="C5" s="11">
        <v>36.880000000000003</v>
      </c>
    </row>
    <row r="6" spans="1:3" ht="14.25" customHeight="1">
      <c r="A6" s="3" t="s">
        <v>203</v>
      </c>
      <c r="B6" s="10">
        <v>50.92</v>
      </c>
      <c r="C6" s="11">
        <v>49.17</v>
      </c>
    </row>
    <row r="7" spans="1:3" ht="15" customHeight="1">
      <c r="A7" s="302" t="s">
        <v>204</v>
      </c>
      <c r="B7" s="302"/>
      <c r="C7" s="302"/>
    </row>
    <row r="8" spans="1:3" ht="14.25" customHeight="1">
      <c r="A8" s="3" t="s">
        <v>200</v>
      </c>
      <c r="B8" s="8">
        <v>-42.14</v>
      </c>
      <c r="C8" s="9">
        <v>-42.14</v>
      </c>
    </row>
    <row r="9" spans="1:3" ht="14.25" customHeight="1">
      <c r="A9" s="3" t="s">
        <v>201</v>
      </c>
      <c r="B9" s="10">
        <v>50.92</v>
      </c>
      <c r="C9" s="11">
        <v>49.17</v>
      </c>
    </row>
    <row r="10" spans="1:3" ht="14.25" customHeight="1">
      <c r="A10" s="3" t="s">
        <v>205</v>
      </c>
      <c r="B10" s="10">
        <v>63.65</v>
      </c>
      <c r="C10" s="11">
        <v>61.46</v>
      </c>
    </row>
    <row r="11" spans="1:3" ht="14.25" customHeight="1">
      <c r="A11" s="3" t="s">
        <v>203</v>
      </c>
      <c r="B11" s="10">
        <v>76.38</v>
      </c>
      <c r="C11" s="11">
        <v>73.75</v>
      </c>
    </row>
    <row r="12" spans="1:3" ht="15" customHeight="1">
      <c r="A12" s="303" t="s">
        <v>206</v>
      </c>
      <c r="B12" s="303"/>
      <c r="C12" s="303"/>
    </row>
    <row r="13" spans="1:3" ht="14.25" customHeight="1">
      <c r="A13" s="3" t="s">
        <v>200</v>
      </c>
      <c r="B13" s="8">
        <v>-52.68</v>
      </c>
      <c r="C13" s="9">
        <v>-52.68</v>
      </c>
    </row>
    <row r="14" spans="1:3" ht="14.25" customHeight="1">
      <c r="A14" s="3" t="s">
        <v>207</v>
      </c>
      <c r="B14" s="10">
        <v>63.65</v>
      </c>
      <c r="C14" s="11">
        <v>61.46</v>
      </c>
    </row>
    <row r="15" spans="1:3" ht="14.25" customHeight="1">
      <c r="A15" s="4" t="s">
        <v>205</v>
      </c>
      <c r="B15" s="10">
        <v>76.38</v>
      </c>
      <c r="C15" s="11">
        <v>73.75</v>
      </c>
    </row>
    <row r="16" spans="1:3" ht="14.25" customHeight="1">
      <c r="A16" s="4" t="s">
        <v>203</v>
      </c>
      <c r="B16" s="10">
        <v>89.11</v>
      </c>
      <c r="C16" s="11">
        <v>86.04</v>
      </c>
    </row>
    <row r="17" spans="1:3" ht="15" customHeight="1">
      <c r="A17" s="303" t="s">
        <v>208</v>
      </c>
      <c r="B17" s="303"/>
      <c r="C17" s="303"/>
    </row>
    <row r="18" spans="1:3" ht="14.25" customHeight="1">
      <c r="A18" s="3" t="s">
        <v>209</v>
      </c>
      <c r="B18" s="8">
        <v>-73.75</v>
      </c>
      <c r="C18" s="9">
        <v>-73.75</v>
      </c>
    </row>
    <row r="19" spans="1:3" ht="14.25" customHeight="1">
      <c r="A19" s="3" t="s">
        <v>210</v>
      </c>
      <c r="B19" s="10">
        <v>89.11</v>
      </c>
      <c r="C19" s="11">
        <v>86.04</v>
      </c>
    </row>
    <row r="20" spans="1:3" ht="14.25" customHeight="1">
      <c r="A20" s="3" t="s">
        <v>211</v>
      </c>
      <c r="B20" s="10">
        <v>101.85</v>
      </c>
      <c r="C20" s="11">
        <v>98.33</v>
      </c>
    </row>
    <row r="21" spans="1:3" ht="14.25" customHeight="1">
      <c r="A21" s="3" t="s">
        <v>212</v>
      </c>
      <c r="B21" s="10">
        <v>114.58</v>
      </c>
      <c r="C21" s="11">
        <v>110.63</v>
      </c>
    </row>
    <row r="22" spans="1:3" ht="15" customHeight="1">
      <c r="A22" s="304" t="s">
        <v>213</v>
      </c>
      <c r="B22" s="304"/>
      <c r="C22" s="304"/>
    </row>
    <row r="23" spans="1:3" ht="14.25" customHeight="1">
      <c r="A23" s="3" t="s">
        <v>214</v>
      </c>
      <c r="B23" s="8">
        <v>-4.34</v>
      </c>
      <c r="C23" s="9">
        <v>-4.34</v>
      </c>
    </row>
    <row r="24" spans="1:3" ht="14.25" customHeight="1">
      <c r="A24" s="3" t="s">
        <v>215</v>
      </c>
      <c r="B24" s="8">
        <v>-13.01</v>
      </c>
      <c r="C24" s="9">
        <v>-13.01</v>
      </c>
    </row>
    <row r="25" spans="1:3" ht="14.25" customHeight="1">
      <c r="A25" s="3" t="s">
        <v>216</v>
      </c>
      <c r="B25" s="10">
        <v>25.46</v>
      </c>
      <c r="C25" s="11">
        <v>24.58</v>
      </c>
    </row>
    <row r="26" spans="1:3" ht="14.25" customHeight="1">
      <c r="A26" s="3" t="s">
        <v>217</v>
      </c>
      <c r="B26" s="10">
        <v>63.65</v>
      </c>
      <c r="C26" s="11">
        <v>61.46</v>
      </c>
    </row>
    <row r="27" spans="1:3" ht="14.25" customHeight="1">
      <c r="A27" s="3" t="s">
        <v>218</v>
      </c>
      <c r="B27" s="8">
        <v>-59.5</v>
      </c>
      <c r="C27" s="9">
        <v>-59.5</v>
      </c>
    </row>
    <row r="28" spans="1:3" ht="14.25" customHeight="1">
      <c r="A28" s="3" t="s">
        <v>219</v>
      </c>
      <c r="B28" s="8">
        <v>-89.24</v>
      </c>
      <c r="C28" s="9">
        <v>-89.24</v>
      </c>
    </row>
    <row r="29" spans="1:3" ht="14.25" customHeight="1">
      <c r="A29" s="3" t="s">
        <v>220</v>
      </c>
      <c r="B29" s="8">
        <v>-29.75</v>
      </c>
      <c r="C29" s="9">
        <v>-29.75</v>
      </c>
    </row>
    <row r="30" spans="1:3" ht="14.25" customHeight="1">
      <c r="A30" s="3" t="s">
        <v>221</v>
      </c>
      <c r="B30" s="8">
        <v>-59.5</v>
      </c>
      <c r="C30" s="9">
        <v>-59.5</v>
      </c>
    </row>
    <row r="31" spans="1:3" ht="14.25" customHeight="1">
      <c r="A31" s="4" t="s">
        <v>222</v>
      </c>
      <c r="B31" s="8">
        <v>-89.24</v>
      </c>
      <c r="C31" s="9">
        <v>-89.24</v>
      </c>
    </row>
    <row r="32" spans="1:3" ht="14.25" customHeight="1">
      <c r="A32" s="4" t="s">
        <v>223</v>
      </c>
      <c r="B32" s="8">
        <v>-21.07</v>
      </c>
      <c r="C32" s="9">
        <v>-21.07</v>
      </c>
    </row>
    <row r="33" spans="1:3" ht="14.25" customHeight="1">
      <c r="A33" s="3" t="s">
        <v>224</v>
      </c>
      <c r="B33" s="8">
        <v>-21.07</v>
      </c>
      <c r="C33" s="9">
        <v>-21.07</v>
      </c>
    </row>
    <row r="34" spans="1:3" ht="14.25" customHeight="1">
      <c r="A34" s="3" t="s">
        <v>225</v>
      </c>
      <c r="B34" s="10">
        <v>25.46</v>
      </c>
      <c r="C34" s="11">
        <v>24.58</v>
      </c>
    </row>
    <row r="35" spans="1:3" ht="14.25" customHeight="1">
      <c r="A35" s="3" t="s">
        <v>226</v>
      </c>
      <c r="B35" s="10">
        <v>38.19</v>
      </c>
      <c r="C35" s="11">
        <v>36.880000000000003</v>
      </c>
    </row>
    <row r="36" spans="1:3" ht="14.25" customHeight="1">
      <c r="A36" s="3" t="s">
        <v>227</v>
      </c>
      <c r="B36" s="10">
        <v>50.92</v>
      </c>
      <c r="C36" s="11">
        <v>49.17</v>
      </c>
    </row>
    <row r="37" spans="1:3" ht="14.25" customHeight="1">
      <c r="A37" s="3" t="s">
        <v>228</v>
      </c>
      <c r="B37" s="8">
        <v>-69.41</v>
      </c>
      <c r="C37" s="9">
        <v>-69.41</v>
      </c>
    </row>
    <row r="38" spans="1:3" ht="14.25" customHeight="1">
      <c r="A38" s="3" t="s">
        <v>229</v>
      </c>
      <c r="B38" s="8">
        <v>-173.53</v>
      </c>
      <c r="C38" s="9">
        <v>-173.53</v>
      </c>
    </row>
    <row r="39" spans="1:3" ht="14.25" customHeight="1">
      <c r="A39" s="3" t="s">
        <v>230</v>
      </c>
      <c r="B39" s="8">
        <v>-34.71</v>
      </c>
      <c r="C39" s="9">
        <v>-34.71</v>
      </c>
    </row>
    <row r="40" spans="1:3" ht="14.25" customHeight="1">
      <c r="A40" s="3" t="s">
        <v>231</v>
      </c>
      <c r="B40" s="8">
        <v>-86.77</v>
      </c>
      <c r="C40" s="9">
        <v>-86.77</v>
      </c>
    </row>
    <row r="41" spans="1:3" ht="14.25" customHeight="1">
      <c r="A41" s="3" t="s">
        <v>153</v>
      </c>
      <c r="B41" s="8">
        <v>-4.34</v>
      </c>
      <c r="C41" s="9">
        <v>-4.34</v>
      </c>
    </row>
    <row r="42" spans="1:3" ht="14.25" customHeight="1">
      <c r="A42" s="3" t="s">
        <v>232</v>
      </c>
      <c r="B42" s="8">
        <v>-10.85</v>
      </c>
      <c r="C42" s="9">
        <v>-10.85</v>
      </c>
    </row>
    <row r="43" spans="1:3" ht="14.25" customHeight="1">
      <c r="A43" s="4" t="s">
        <v>154</v>
      </c>
      <c r="B43" s="8">
        <v>-104.12</v>
      </c>
      <c r="C43" s="9">
        <v>-104.12</v>
      </c>
    </row>
    <row r="44" spans="1:3" ht="14.25" customHeight="1">
      <c r="A44" s="4" t="s">
        <v>155</v>
      </c>
      <c r="B44" s="8">
        <v>-52.06</v>
      </c>
      <c r="C44" s="9">
        <v>-52.06</v>
      </c>
    </row>
  </sheetData>
  <mergeCells count="5">
    <mergeCell ref="A2:C2"/>
    <mergeCell ref="A7:C7"/>
    <mergeCell ref="A12:C12"/>
    <mergeCell ref="A17:C17"/>
    <mergeCell ref="A22:C22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7.25" defaultRowHeight="15.6" customHeight="1"/>
  <cols>
    <col min="1" max="1" width="34.875" style="2" customWidth="1"/>
    <col min="2" max="16384" width="7.25" style="2"/>
  </cols>
  <sheetData>
    <row r="1" spans="1:1" ht="15.6" customHeight="1">
      <c r="A1" s="12" t="s">
        <v>156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/>
  </sheetViews>
  <sheetFormatPr defaultColWidth="7.25" defaultRowHeight="14.25" customHeight="1"/>
  <cols>
    <col min="1" max="1" width="34.5" style="2" customWidth="1"/>
    <col min="2" max="2" width="22.375" style="2" customWidth="1"/>
    <col min="3" max="3" width="15.5" style="2" customWidth="1"/>
    <col min="4" max="16384" width="7.25" style="2"/>
  </cols>
  <sheetData>
    <row r="1" spans="1:3" ht="14.25" customHeight="1">
      <c r="A1" s="3" t="s">
        <v>157</v>
      </c>
      <c r="B1" s="8">
        <v>-1.61</v>
      </c>
      <c r="C1" s="13">
        <v>-1.61</v>
      </c>
    </row>
    <row r="2" spans="1:3" ht="14.25" customHeight="1">
      <c r="A2" s="3" t="s">
        <v>158</v>
      </c>
      <c r="B2" s="8">
        <v>-4.03</v>
      </c>
      <c r="C2" s="13">
        <v>-4.03</v>
      </c>
    </row>
    <row r="3" spans="1:3" ht="14.25" customHeight="1">
      <c r="A3" s="3" t="s">
        <v>159</v>
      </c>
      <c r="B3" s="8">
        <v>-0.48</v>
      </c>
      <c r="C3" s="13">
        <v>-0.48</v>
      </c>
    </row>
    <row r="4" spans="1:3" ht="14.25" customHeight="1">
      <c r="A4" s="3" t="s">
        <v>160</v>
      </c>
      <c r="B4" s="8">
        <v>-1.21</v>
      </c>
      <c r="C4" s="13">
        <v>-1.21</v>
      </c>
    </row>
    <row r="5" spans="1:3" ht="14.25" customHeight="1">
      <c r="A5" s="3" t="s">
        <v>161</v>
      </c>
      <c r="B5" s="10">
        <v>1.95</v>
      </c>
      <c r="C5" s="14">
        <v>1.88</v>
      </c>
    </row>
    <row r="6" spans="1:3" ht="14.25" customHeight="1">
      <c r="A6" s="3" t="s">
        <v>162</v>
      </c>
      <c r="B6" s="10">
        <v>4.87</v>
      </c>
      <c r="C6" s="14">
        <v>4.7</v>
      </c>
    </row>
    <row r="7" spans="1:3" ht="14.25" customHeight="1">
      <c r="A7" s="4" t="s">
        <v>163</v>
      </c>
      <c r="B7" s="10">
        <v>0.57999999999999996</v>
      </c>
      <c r="C7" s="14">
        <v>0.56000000000000005</v>
      </c>
    </row>
    <row r="8" spans="1:3" ht="14.25" customHeight="1">
      <c r="A8" s="4" t="s">
        <v>164</v>
      </c>
      <c r="B8" s="10">
        <v>1.46</v>
      </c>
      <c r="C8" s="14">
        <v>1.41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"/>
  <sheetViews>
    <sheetView workbookViewId="0"/>
  </sheetViews>
  <sheetFormatPr defaultColWidth="7.25" defaultRowHeight="14.25" customHeight="1"/>
  <cols>
    <col min="1" max="1" width="0.75" style="2" customWidth="1"/>
    <col min="2" max="2" width="72.75" style="2" customWidth="1"/>
    <col min="3" max="16384" width="7.25" style="2"/>
  </cols>
  <sheetData>
    <row r="1" spans="1:2" ht="17.100000000000001" customHeight="1">
      <c r="A1" s="15" t="s">
        <v>233</v>
      </c>
      <c r="B1" s="15"/>
    </row>
    <row r="2" spans="1:2" ht="14.25" customHeight="1">
      <c r="A2" s="16">
        <v>1</v>
      </c>
      <c r="B2" s="15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Biselli</dc:creator>
  <cp:keywords/>
  <dc:description/>
  <cp:lastModifiedBy>alessandra.falagiani@cnpg912.onmicrosoft.com</cp:lastModifiedBy>
  <cp:revision>10</cp:revision>
  <dcterms:created xsi:type="dcterms:W3CDTF">2020-11-28T10:51:16Z</dcterms:created>
  <dcterms:modified xsi:type="dcterms:W3CDTF">2021-04-27T11:32:12Z</dcterms:modified>
  <cp:category/>
  <cp:contentStatus/>
</cp:coreProperties>
</file>